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P:\AFC-GerênciaContabil\002 Demonstrações Contábeis\2025\12. DEZEMBRO 2025\01. Demonstrações Financeiras\02. Demonstração Final\Publicação\"/>
    </mc:Choice>
  </mc:AlternateContent>
  <xr:revisionPtr revIDLastSave="0" documentId="13_ncr:1_{F4007F26-E9E8-4218-8338-B2A9FABA0323}" xr6:coauthVersionLast="47" xr6:coauthVersionMax="47" xr10:uidLastSave="{00000000-0000-0000-0000-000000000000}"/>
  <bookViews>
    <workbookView xWindow="-120" yWindow="-120" windowWidth="38640" windowHeight="15720" tabRatio="950" firstSheet="4" activeTab="5" xr2:uid="{3298D64D-D84B-4093-88AD-71D60D503A88}"/>
  </bookViews>
  <sheets>
    <sheet name="Classificações - Demonstrações" sheetId="2" state="hidden" r:id="rId1"/>
    <sheet name="Balancete do Período" sheetId="3" state="hidden" r:id="rId2"/>
    <sheet name="DRE(9)" sheetId="25" state="hidden" r:id="rId3"/>
    <sheet name="DMPL (3)" sheetId="29" state="hidden" r:id="rId4"/>
    <sheet name="Capa DFs" sheetId="6" r:id="rId5"/>
    <sheet name="1. BP (mil)" sheetId="35" r:id="rId6"/>
    <sheet name="2. DRE (mil)" sheetId="34" r:id="rId7"/>
    <sheet name="3. DFC (mil)" sheetId="37" r:id="rId8"/>
    <sheet name="4. DRA (mil)" sheetId="11" r:id="rId9"/>
    <sheet name="5. DVA (mil)" sheetId="38" r:id="rId10"/>
    <sheet name="6. DMPL (mil)" sheetId="39" r:id="rId11"/>
    <sheet name="Notas Explicativas" sheetId="24" state="hidden" r:id="rId12"/>
    <sheet name="Notas Explicativas (2)" sheetId="28" state="hidden" r:id="rId13"/>
  </sheets>
  <definedNames>
    <definedName name="_xlnm._FilterDatabase" localSheetId="0" hidden="1">'Classificações - Demonstrações'!$A$5:$C$4675</definedName>
    <definedName name="_xlnm.Print_Area" localSheetId="5">'1. BP (mil)'!$A$1:$K$65</definedName>
    <definedName name="_xlnm.Print_Area" localSheetId="6">'2. DRE (mil)'!$A$1:$J$37</definedName>
    <definedName name="_xlnm.Print_Area" localSheetId="7">'3. DFC (mil)'!$A$1:$H$71</definedName>
    <definedName name="_xlnm.Print_Area" localSheetId="8">'4. DRA (mil)'!$A$1:$J$55</definedName>
    <definedName name="_xlnm.Print_Area" localSheetId="9">'5. DVA (mil)'!$A$1:$I$44</definedName>
    <definedName name="_xlnm.Print_Area" localSheetId="10">'6. DMPL (mil)'!$A$1:$I$47</definedName>
    <definedName name="_xlnm.Print_Area" localSheetId="4">'Capa DFs'!$A$1:$J$63</definedName>
    <definedName name="_xlnm.Print_Area" localSheetId="3">'DMPL (3)'!$A$1:$N$59</definedName>
    <definedName name="_xlnm.Print_Area" localSheetId="2">'DRE(9)'!$A$1:$N$76</definedName>
    <definedName name="_xlnm.Print_Area" localSheetId="11">'Notas Explicativas'!$B$1:$G$733</definedName>
    <definedName name="_xlnm.Print_Area" localSheetId="12">'Notas Explicativas (2)'!$A$1:$F$588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2" i="24" l="1"/>
  <c r="D481" i="24"/>
  <c r="F592" i="24"/>
  <c r="F581" i="24"/>
  <c r="F571" i="24"/>
  <c r="D571" i="24"/>
  <c r="F594" i="24" l="1"/>
  <c r="I76" i="24"/>
  <c r="D76" i="24" l="1"/>
  <c r="D77" i="24"/>
  <c r="F237" i="24"/>
  <c r="F239" i="24"/>
  <c r="D430" i="24" l="1"/>
  <c r="CW280" i="24"/>
  <c r="CV281" i="24"/>
  <c r="CV280" i="24"/>
  <c r="CU280" i="24"/>
  <c r="CT281" i="24"/>
  <c r="CT280" i="24"/>
  <c r="I80" i="24"/>
  <c r="D80" i="24"/>
  <c r="D79" i="24"/>
  <c r="D58" i="24"/>
  <c r="D452" i="24" l="1"/>
  <c r="D428" i="24" l="1"/>
  <c r="D386" i="24" l="1"/>
  <c r="D362" i="24"/>
  <c r="S334" i="24"/>
  <c r="D217" i="24"/>
  <c r="F414" i="24" l="1"/>
  <c r="D109" i="24"/>
  <c r="AU622" i="24" l="1"/>
  <c r="CU282" i="24"/>
  <c r="CW282" i="24"/>
  <c r="CT282" i="24"/>
  <c r="CV282" i="24" l="1"/>
  <c r="D491" i="24" l="1"/>
  <c r="D492" i="24"/>
  <c r="M517" i="24"/>
  <c r="D344" i="24" l="1"/>
  <c r="U334" i="24"/>
  <c r="U331" i="24"/>
  <c r="S315" i="24" l="1"/>
  <c r="D244" i="24" l="1"/>
  <c r="D237" i="24"/>
  <c r="D241" i="24"/>
  <c r="F253" i="24"/>
  <c r="D253" i="24"/>
  <c r="D154" i="24" l="1"/>
  <c r="D155" i="24"/>
  <c r="D139" i="24"/>
  <c r="D142" i="24"/>
  <c r="D126" i="24" l="1"/>
  <c r="D127" i="24"/>
  <c r="D45" i="24" l="1"/>
  <c r="D227" i="24" l="1"/>
  <c r="B121" i="24"/>
  <c r="B115" i="24" l="1"/>
  <c r="D111" i="24"/>
  <c r="E146" i="24" l="1"/>
  <c r="D141" i="24" l="1"/>
  <c r="D143" i="24"/>
  <c r="D140" i="24"/>
  <c r="S326" i="24" l="1"/>
  <c r="Q308" i="24"/>
  <c r="Q263" i="24"/>
  <c r="Q268" i="24"/>
  <c r="Q226" i="24"/>
  <c r="D163" i="24"/>
  <c r="Q163" i="24"/>
  <c r="Q155" i="24"/>
  <c r="Q111" i="24"/>
  <c r="Q76" i="24"/>
  <c r="Q58" i="24"/>
  <c r="CH181" i="24" l="1"/>
  <c r="CF181" i="24"/>
  <c r="CB181" i="24"/>
  <c r="BZ181" i="24"/>
  <c r="D296" i="24" l="1"/>
  <c r="D290" i="24"/>
  <c r="D63" i="24" l="1"/>
  <c r="D61" i="24" s="1"/>
  <c r="D46" i="24"/>
  <c r="D503" i="24"/>
  <c r="D308" i="24"/>
  <c r="D306" i="24"/>
  <c r="D304" i="24"/>
  <c r="D305" i="24"/>
  <c r="D210" i="24"/>
  <c r="D56" i="24"/>
  <c r="CL175" i="24"/>
  <c r="D226" i="24" l="1"/>
  <c r="D261" i="24"/>
  <c r="D303" i="24"/>
  <c r="D509" i="24"/>
  <c r="D263" i="24"/>
  <c r="D145" i="24"/>
  <c r="D262" i="24"/>
  <c r="F228" i="24"/>
  <c r="D110" i="24"/>
  <c r="D495" i="24" l="1"/>
  <c r="M518" i="24" l="1"/>
  <c r="BJ658" i="24"/>
  <c r="BN660" i="24"/>
  <c r="D271" i="24" l="1"/>
  <c r="F271" i="24"/>
  <c r="D289" i="24"/>
  <c r="D291" i="24"/>
  <c r="D294" i="24"/>
  <c r="D292" i="24"/>
  <c r="D295" i="24"/>
  <c r="D293" i="24"/>
  <c r="U332" i="24" l="1"/>
  <c r="U333" i="24"/>
  <c r="S331" i="24"/>
  <c r="D437" i="24" l="1"/>
  <c r="F437" i="24" l="1"/>
  <c r="J416" i="24" l="1"/>
  <c r="D403" i="24" l="1"/>
  <c r="I403" i="24" s="1"/>
  <c r="D343" i="24" l="1"/>
  <c r="D78" i="24"/>
  <c r="D57" i="24"/>
  <c r="D307" i="24"/>
  <c r="D208" i="24"/>
  <c r="D209" i="24"/>
  <c r="D130" i="24"/>
  <c r="D95" i="24"/>
  <c r="D94" i="24"/>
  <c r="D93" i="24"/>
  <c r="D92" i="24"/>
  <c r="D100" i="24"/>
  <c r="D91" i="24"/>
  <c r="D144" i="24" l="1"/>
  <c r="D228" i="24"/>
  <c r="D462" i="24"/>
  <c r="I437" i="24"/>
  <c r="F496" i="24"/>
  <c r="I144" i="24" l="1"/>
  <c r="D146" i="24"/>
  <c r="D493" i="24"/>
  <c r="D489" i="24"/>
  <c r="D494" i="24"/>
  <c r="J365" i="24" l="1"/>
  <c r="J362" i="24"/>
  <c r="J360" i="24"/>
  <c r="J48" i="24"/>
  <c r="D360" i="24"/>
  <c r="J228" i="24" l="1"/>
  <c r="J364" i="24"/>
  <c r="J404" i="24"/>
  <c r="J363" i="24"/>
  <c r="J366" i="24"/>
  <c r="D387" i="24"/>
  <c r="D363" i="24"/>
  <c r="I363" i="24" s="1"/>
  <c r="I360" i="24"/>
  <c r="J361" i="24" l="1"/>
  <c r="F57" i="24" l="1"/>
  <c r="F56" i="24"/>
  <c r="D59" i="24"/>
  <c r="D64" i="24" s="1"/>
  <c r="Y335" i="24"/>
  <c r="AK335" i="24" s="1"/>
  <c r="F54" i="24"/>
  <c r="F75" i="24" s="1"/>
  <c r="D54" i="24"/>
  <c r="D75" i="24" s="1"/>
  <c r="F59" i="24" l="1"/>
  <c r="F64" i="24" s="1"/>
  <c r="J64" i="24" s="1"/>
  <c r="I362" i="24" l="1"/>
  <c r="N449" i="29" l="1"/>
  <c r="W430" i="29"/>
  <c r="W301" i="29"/>
  <c r="J87" i="29"/>
  <c r="G60" i="29"/>
  <c r="S40" i="29"/>
  <c r="R40" i="29"/>
  <c r="Q40" i="29"/>
  <c r="P40" i="29"/>
  <c r="W39" i="29"/>
  <c r="W40" i="29" s="1"/>
  <c r="V39" i="29"/>
  <c r="U39" i="29"/>
  <c r="U40" i="29" s="1"/>
  <c r="T39" i="29"/>
  <c r="S39" i="29"/>
  <c r="R39" i="29"/>
  <c r="Q39" i="29"/>
  <c r="P39" i="29"/>
  <c r="L39" i="29"/>
  <c r="K39" i="29"/>
  <c r="J39" i="29"/>
  <c r="I39" i="29"/>
  <c r="T40" i="29" s="1"/>
  <c r="H39" i="29"/>
  <c r="G39" i="29"/>
  <c r="F39" i="29"/>
  <c r="E39" i="29"/>
  <c r="X38" i="29"/>
  <c r="M38" i="29"/>
  <c r="X37" i="29"/>
  <c r="M37" i="29"/>
  <c r="X36" i="29"/>
  <c r="M36" i="29"/>
  <c r="X35" i="29"/>
  <c r="M35" i="29"/>
  <c r="M39" i="29" s="1"/>
  <c r="X33" i="29"/>
  <c r="M33" i="29"/>
  <c r="L20" i="29"/>
  <c r="K20" i="29"/>
  <c r="J20" i="29"/>
  <c r="I20" i="29"/>
  <c r="H20" i="29"/>
  <c r="G20" i="29"/>
  <c r="F20" i="29"/>
  <c r="E20" i="29"/>
  <c r="M20" i="29" s="1"/>
  <c r="M19" i="29"/>
  <c r="M18" i="29"/>
  <c r="M17" i="29"/>
  <c r="M16" i="29"/>
  <c r="M15" i="29"/>
  <c r="M13" i="29"/>
  <c r="C3" i="29"/>
  <c r="F388" i="24"/>
  <c r="J388" i="24" s="1"/>
  <c r="D388" i="24"/>
  <c r="I388" i="24" s="1"/>
  <c r="BL663" i="24"/>
  <c r="BD541" i="28"/>
  <c r="BB541" i="28"/>
  <c r="AZ541" i="28"/>
  <c r="AX541" i="28"/>
  <c r="BL540" i="28"/>
  <c r="BL538" i="28"/>
  <c r="BL541" i="28" s="1"/>
  <c r="BH538" i="28"/>
  <c r="BH535" i="28" s="1"/>
  <c r="BF538" i="28"/>
  <c r="BF541" i="28" s="1"/>
  <c r="BH536" i="28"/>
  <c r="C510" i="28"/>
  <c r="E509" i="28"/>
  <c r="E508" i="28"/>
  <c r="E510" i="28" s="1"/>
  <c r="W476" i="28"/>
  <c r="U476" i="28"/>
  <c r="S476" i="28"/>
  <c r="Q476" i="28"/>
  <c r="E446" i="28"/>
  <c r="C446" i="28"/>
  <c r="E442" i="28"/>
  <c r="E448" i="28" s="1"/>
  <c r="C442" i="28"/>
  <c r="C448" i="28" s="1"/>
  <c r="E433" i="28"/>
  <c r="E419" i="28"/>
  <c r="C417" i="28"/>
  <c r="C412" i="28"/>
  <c r="C408" i="28"/>
  <c r="C407" i="28"/>
  <c r="C419" i="28" s="1"/>
  <c r="E391" i="28"/>
  <c r="E393" i="28" s="1"/>
  <c r="E397" i="28" s="1"/>
  <c r="E399" i="28" s="1"/>
  <c r="C391" i="28"/>
  <c r="C393" i="28" s="1"/>
  <c r="C397" i="28" s="1"/>
  <c r="E386" i="28"/>
  <c r="E395" i="28" s="1"/>
  <c r="E406" i="28" s="1"/>
  <c r="E425" i="28" s="1"/>
  <c r="E438" i="28" s="1"/>
  <c r="S472" i="28" s="1"/>
  <c r="W472" i="28" s="1"/>
  <c r="E374" i="28"/>
  <c r="C374" i="28"/>
  <c r="C336" i="28"/>
  <c r="AU327" i="28"/>
  <c r="AS327" i="28"/>
  <c r="AQ327" i="28"/>
  <c r="AO327" i="28"/>
  <c r="AM327" i="28"/>
  <c r="AU326" i="28"/>
  <c r="AU325" i="28"/>
  <c r="AU324" i="28"/>
  <c r="AU323" i="28"/>
  <c r="AU322" i="28"/>
  <c r="E314" i="28"/>
  <c r="C314" i="28"/>
  <c r="E302" i="28"/>
  <c r="C301" i="28"/>
  <c r="C302" i="28" s="1"/>
  <c r="E294" i="28"/>
  <c r="C294" i="28"/>
  <c r="W283" i="28"/>
  <c r="U283" i="28"/>
  <c r="Q283" i="28"/>
  <c r="S282" i="28"/>
  <c r="S281" i="28"/>
  <c r="S283" i="28" s="1"/>
  <c r="S280" i="28"/>
  <c r="S279" i="28"/>
  <c r="Y272" i="28"/>
  <c r="W272" i="28"/>
  <c r="AA272" i="28" s="1"/>
  <c r="Q272" i="28"/>
  <c r="U272" i="28" s="1"/>
  <c r="AA271" i="28"/>
  <c r="U271" i="28"/>
  <c r="S271" i="28"/>
  <c r="AA270" i="28"/>
  <c r="U270" i="28"/>
  <c r="S270" i="28"/>
  <c r="S272" i="28" s="1"/>
  <c r="E257" i="28"/>
  <c r="C257" i="28"/>
  <c r="C256" i="28"/>
  <c r="C255" i="28"/>
  <c r="C254" i="28"/>
  <c r="C253" i="28"/>
  <c r="C252" i="28"/>
  <c r="C251" i="28"/>
  <c r="E245" i="28"/>
  <c r="C245" i="28"/>
  <c r="C231" i="28"/>
  <c r="C230" i="28"/>
  <c r="E229" i="28"/>
  <c r="E232" i="28" s="1"/>
  <c r="C229" i="28"/>
  <c r="C232" i="28" s="1"/>
  <c r="E221" i="28"/>
  <c r="C221" i="28"/>
  <c r="E215" i="28"/>
  <c r="E223" i="28" s="1"/>
  <c r="C215" i="28"/>
  <c r="C223" i="28" s="1"/>
  <c r="E212" i="28"/>
  <c r="E204" i="28"/>
  <c r="C204" i="28"/>
  <c r="C202" i="28"/>
  <c r="E196" i="28"/>
  <c r="C196" i="28"/>
  <c r="E187" i="28"/>
  <c r="C185" i="28"/>
  <c r="C187" i="28" s="1"/>
  <c r="C184" i="28"/>
  <c r="CF164" i="28"/>
  <c r="CD164" i="28"/>
  <c r="CB164" i="28"/>
  <c r="BZ164" i="28"/>
  <c r="BX164" i="28"/>
  <c r="CJ163" i="28"/>
  <c r="CJ162" i="28"/>
  <c r="CJ161" i="28"/>
  <c r="CJ160" i="28"/>
  <c r="CJ159" i="28"/>
  <c r="CJ158" i="28"/>
  <c r="CJ157" i="28"/>
  <c r="CJ156" i="28"/>
  <c r="CJ155" i="28"/>
  <c r="CJ164" i="28" s="1"/>
  <c r="E148" i="28"/>
  <c r="C147" i="28"/>
  <c r="C146" i="28"/>
  <c r="C148" i="28" s="1"/>
  <c r="E140" i="28"/>
  <c r="C140" i="28"/>
  <c r="C138" i="28"/>
  <c r="C137" i="28"/>
  <c r="E131" i="28"/>
  <c r="H131" i="28" s="1"/>
  <c r="C130" i="28"/>
  <c r="C129" i="28"/>
  <c r="C128" i="28"/>
  <c r="C127" i="28"/>
  <c r="C126" i="28"/>
  <c r="C131" i="28" s="1"/>
  <c r="G131" i="28" s="1"/>
  <c r="E114" i="28"/>
  <c r="E119" i="28" s="1"/>
  <c r="C114" i="28"/>
  <c r="C119" i="28" s="1"/>
  <c r="E105" i="28"/>
  <c r="C105" i="28"/>
  <c r="E96" i="28"/>
  <c r="E94" i="28"/>
  <c r="C92" i="28"/>
  <c r="C94" i="28" s="1"/>
  <c r="E88" i="28"/>
  <c r="C87" i="28"/>
  <c r="C86" i="28"/>
  <c r="C85" i="28"/>
  <c r="C84" i="28"/>
  <c r="C88" i="28" s="1"/>
  <c r="C96" i="28" s="1"/>
  <c r="C83" i="28"/>
  <c r="E75" i="28"/>
  <c r="C74" i="28"/>
  <c r="C73" i="28"/>
  <c r="C72" i="28"/>
  <c r="C71" i="28"/>
  <c r="C75" i="28" s="1"/>
  <c r="C70" i="28"/>
  <c r="E61" i="28"/>
  <c r="C61" i="28"/>
  <c r="C60" i="28"/>
  <c r="C59" i="28"/>
  <c r="C58" i="28"/>
  <c r="E57" i="28"/>
  <c r="E69" i="28" s="1"/>
  <c r="E82" i="28" s="1"/>
  <c r="E90" i="28" s="1"/>
  <c r="E100" i="28" s="1"/>
  <c r="E110" i="28" s="1"/>
  <c r="E125" i="28" s="1"/>
  <c r="E136" i="28" s="1"/>
  <c r="E145" i="28" s="1"/>
  <c r="E183" i="28" s="1"/>
  <c r="E192" i="28" s="1"/>
  <c r="E201" i="28" s="1"/>
  <c r="E211" i="28" s="1"/>
  <c r="E217" i="28" s="1"/>
  <c r="E228" i="28" s="1"/>
  <c r="E237" i="28" s="1"/>
  <c r="E250" i="28" s="1"/>
  <c r="C57" i="28"/>
  <c r="C69" i="28" s="1"/>
  <c r="C82" i="28" s="1"/>
  <c r="C90" i="28" s="1"/>
  <c r="C100" i="28" s="1"/>
  <c r="C110" i="28" s="1"/>
  <c r="C125" i="28" s="1"/>
  <c r="C136" i="28" s="1"/>
  <c r="C145" i="28" s="1"/>
  <c r="C183" i="28" s="1"/>
  <c r="C192" i="28" s="1"/>
  <c r="C201" i="28" s="1"/>
  <c r="C211" i="28" s="1"/>
  <c r="C217" i="28" s="1"/>
  <c r="C228" i="28" s="1"/>
  <c r="C237" i="28" s="1"/>
  <c r="C250" i="28" s="1"/>
  <c r="Q50" i="28"/>
  <c r="Q51" i="28" s="1"/>
  <c r="C50" i="28"/>
  <c r="Q49" i="28"/>
  <c r="Q48" i="28"/>
  <c r="Q47" i="28"/>
  <c r="A43" i="28"/>
  <c r="X39" i="29" l="1"/>
  <c r="V40" i="29"/>
  <c r="Q268" i="28"/>
  <c r="C291" i="28"/>
  <c r="C299" i="28" s="1"/>
  <c r="C306" i="28" s="1"/>
  <c r="C334" i="28" s="1"/>
  <c r="Q277" i="28"/>
  <c r="W268" i="28"/>
  <c r="E291" i="28"/>
  <c r="E299" i="28" s="1"/>
  <c r="E306" i="28" s="1"/>
  <c r="E334" i="28" s="1"/>
  <c r="U277" i="28"/>
  <c r="CL163" i="28"/>
  <c r="BH541" i="28"/>
  <c r="X40" i="29" l="1"/>
  <c r="C366" i="28"/>
  <c r="C386" i="28" s="1"/>
  <c r="C395" i="28" s="1"/>
  <c r="C406" i="28" s="1"/>
  <c r="C425" i="28" s="1"/>
  <c r="C438" i="28" s="1"/>
  <c r="E346" i="28"/>
  <c r="J456" i="25"/>
  <c r="R437" i="25"/>
  <c r="R308" i="25"/>
  <c r="N46" i="25"/>
  <c r="L52" i="25"/>
  <c r="L51" i="25"/>
  <c r="K50" i="25"/>
  <c r="L42" i="25"/>
  <c r="L40" i="25"/>
  <c r="L39" i="25"/>
  <c r="L38" i="25"/>
  <c r="L37" i="25"/>
  <c r="L36" i="25"/>
  <c r="L35" i="25"/>
  <c r="L34" i="25"/>
  <c r="L33" i="25"/>
  <c r="L32" i="25"/>
  <c r="L31" i="25"/>
  <c r="L30" i="25"/>
  <c r="L29" i="25"/>
  <c r="L28" i="25"/>
  <c r="K27" i="25"/>
  <c r="L22" i="25"/>
  <c r="L19" i="25"/>
  <c r="L18" i="25" s="1"/>
  <c r="K18" i="25"/>
  <c r="L16" i="25"/>
  <c r="L15" i="25"/>
  <c r="K14" i="25"/>
  <c r="L11" i="25"/>
  <c r="B4" i="25"/>
  <c r="C507" i="28" l="1"/>
  <c r="C524" i="28" s="1"/>
  <c r="Q472" i="28"/>
  <c r="U472" i="28" s="1"/>
  <c r="K21" i="25"/>
  <c r="L14" i="25"/>
  <c r="M22" i="25" s="1"/>
  <c r="L50" i="25"/>
  <c r="L27" i="25"/>
  <c r="K24" i="25"/>
  <c r="M42" i="25" l="1"/>
  <c r="M16" i="25"/>
  <c r="M46" i="25"/>
  <c r="M51" i="25"/>
  <c r="M15" i="25"/>
  <c r="M27" i="25"/>
  <c r="L21" i="25"/>
  <c r="M50" i="25"/>
  <c r="M52" i="25"/>
  <c r="L26" i="25"/>
  <c r="M19" i="25"/>
  <c r="M18" i="25" s="1"/>
  <c r="M45" i="25"/>
  <c r="D1570" i="3"/>
  <c r="D1569" i="3"/>
  <c r="M14" i="25" l="1"/>
  <c r="M26" i="25"/>
  <c r="L24" i="25"/>
  <c r="M21" i="25"/>
  <c r="L48" i="25" l="1"/>
  <c r="M24" i="25"/>
  <c r="BN662" i="24"/>
  <c r="BJ663" i="24"/>
  <c r="BH663" i="24"/>
  <c r="BF663" i="24"/>
  <c r="BD663" i="24"/>
  <c r="BB663" i="24"/>
  <c r="AZ663" i="24"/>
  <c r="M48" i="25" l="1"/>
  <c r="L54" i="25"/>
  <c r="BN663" i="24"/>
  <c r="M54" i="25" l="1"/>
  <c r="CD181" i="24" l="1"/>
  <c r="CL180" i="24"/>
  <c r="CL179" i="24"/>
  <c r="CL178" i="24"/>
  <c r="CL177" i="24"/>
  <c r="CL176" i="24"/>
  <c r="CL174" i="24"/>
  <c r="CL173" i="24"/>
  <c r="CL172" i="24"/>
  <c r="CL181" i="24" l="1"/>
  <c r="CN180" i="24" s="1"/>
  <c r="S48" i="24"/>
  <c r="S49" i="24" s="1"/>
  <c r="S47" i="24"/>
  <c r="S46" i="24"/>
  <c r="S45" i="24"/>
  <c r="F632" i="24" l="1"/>
  <c r="F631" i="24"/>
  <c r="D633" i="24"/>
  <c r="F633" i="24" l="1"/>
  <c r="Y540" i="24" l="1"/>
  <c r="W540" i="24"/>
  <c r="U540" i="24"/>
  <c r="S540" i="24"/>
  <c r="AU380" i="24"/>
  <c r="AS380" i="24"/>
  <c r="AQ380" i="24"/>
  <c r="AO380" i="24"/>
  <c r="AW379" i="24"/>
  <c r="AW378" i="24"/>
  <c r="AW377" i="24"/>
  <c r="AW376" i="24"/>
  <c r="AW375" i="24"/>
  <c r="AA317" i="24"/>
  <c r="AK317" i="24" s="1"/>
  <c r="Y317" i="24"/>
  <c r="AI317" i="24" s="1"/>
  <c r="AC316" i="24"/>
  <c r="AC315" i="24"/>
  <c r="B41" i="24"/>
  <c r="F510" i="24"/>
  <c r="D510" i="24"/>
  <c r="F505" i="24"/>
  <c r="D505" i="24"/>
  <c r="F483" i="24"/>
  <c r="J483" i="24" s="1"/>
  <c r="D474" i="24"/>
  <c r="D470" i="24"/>
  <c r="D469" i="24"/>
  <c r="F455" i="24"/>
  <c r="D455" i="24"/>
  <c r="I455" i="24" s="1"/>
  <c r="F450" i="24"/>
  <c r="F459" i="24" s="1"/>
  <c r="F468" i="24" s="1"/>
  <c r="F488" i="24" s="1"/>
  <c r="F501" i="24" s="1"/>
  <c r="J437" i="24"/>
  <c r="F367" i="24"/>
  <c r="J367" i="24" s="1"/>
  <c r="F355" i="24"/>
  <c r="D355" i="24"/>
  <c r="F345" i="24"/>
  <c r="J345" i="24" s="1"/>
  <c r="W335" i="24"/>
  <c r="AI335" i="24" s="1"/>
  <c r="S335" i="24"/>
  <c r="F309" i="24"/>
  <c r="J309" i="24" s="1"/>
  <c r="F297" i="24"/>
  <c r="J297" i="24" s="1"/>
  <c r="F261" i="24"/>
  <c r="F264" i="24" s="1"/>
  <c r="J271" i="24" s="1"/>
  <c r="F247" i="24"/>
  <c r="F241" i="24"/>
  <c r="F220" i="24"/>
  <c r="J220" i="24" s="1"/>
  <c r="D220" i="24"/>
  <c r="F211" i="24"/>
  <c r="J211" i="24" s="1"/>
  <c r="F165" i="24"/>
  <c r="J165" i="24" s="1"/>
  <c r="D164" i="24"/>
  <c r="F157" i="24"/>
  <c r="J157" i="24" s="1"/>
  <c r="F144" i="24"/>
  <c r="F128" i="24"/>
  <c r="F131" i="24" s="1"/>
  <c r="J131" i="24" s="1"/>
  <c r="D128" i="24"/>
  <c r="D131" i="24" s="1"/>
  <c r="F113" i="24"/>
  <c r="J113" i="24" s="1"/>
  <c r="F102" i="24"/>
  <c r="D102" i="24"/>
  <c r="F96" i="24"/>
  <c r="F81" i="24"/>
  <c r="J81" i="24" s="1"/>
  <c r="F90" i="24"/>
  <c r="F98" i="24" s="1"/>
  <c r="F108" i="24" s="1"/>
  <c r="F124" i="24" s="1"/>
  <c r="F137" i="24" s="1"/>
  <c r="F153" i="24" s="1"/>
  <c r="F162" i="24" s="1"/>
  <c r="F207" i="24" s="1"/>
  <c r="F216" i="24" s="1"/>
  <c r="F225" i="24" s="1"/>
  <c r="D90" i="24"/>
  <c r="D98" i="24" s="1"/>
  <c r="D108" i="24" s="1"/>
  <c r="D124" i="24" s="1"/>
  <c r="D137" i="24" s="1"/>
  <c r="D153" i="24" s="1"/>
  <c r="D162" i="24" s="1"/>
  <c r="D207" i="24" s="1"/>
  <c r="D216" i="24" s="1"/>
  <c r="D225" i="24" s="1"/>
  <c r="D48" i="24"/>
  <c r="U536" i="24" l="1"/>
  <c r="Y536" i="24" s="1"/>
  <c r="F552" i="24"/>
  <c r="F573" i="24" s="1"/>
  <c r="F255" i="24"/>
  <c r="J144" i="24"/>
  <c r="F146" i="24"/>
  <c r="J455" i="24"/>
  <c r="F457" i="24"/>
  <c r="F461" i="24" s="1"/>
  <c r="F463" i="24" s="1"/>
  <c r="F236" i="24"/>
  <c r="F243" i="24" s="1"/>
  <c r="D236" i="24"/>
  <c r="D243" i="24" s="1"/>
  <c r="AW380" i="24"/>
  <c r="S317" i="24"/>
  <c r="W316" i="24"/>
  <c r="AC317" i="24"/>
  <c r="W315" i="24"/>
  <c r="U317" i="24"/>
  <c r="F512" i="24"/>
  <c r="J512" i="24" s="1"/>
  <c r="D157" i="24"/>
  <c r="D345" i="24"/>
  <c r="D512" i="24"/>
  <c r="D96" i="24"/>
  <c r="D104" i="24" s="1"/>
  <c r="D113" i="24"/>
  <c r="I113" i="24" s="1"/>
  <c r="D165" i="24"/>
  <c r="D211" i="24"/>
  <c r="D247" i="24"/>
  <c r="D255" i="24" s="1"/>
  <c r="D264" i="24"/>
  <c r="I271" i="24" s="1"/>
  <c r="F104" i="24"/>
  <c r="J104" i="24" s="1"/>
  <c r="D483" i="24"/>
  <c r="U335" i="24"/>
  <c r="D457" i="24"/>
  <c r="D461" i="24" s="1"/>
  <c r="D81" i="24"/>
  <c r="D297" i="24"/>
  <c r="D309" i="24"/>
  <c r="D260" i="24" l="1"/>
  <c r="D267" i="24" s="1"/>
  <c r="D249" i="24"/>
  <c r="F260" i="24"/>
  <c r="F267" i="24" s="1"/>
  <c r="F249" i="24"/>
  <c r="D288" i="24"/>
  <c r="D302" i="24" s="1"/>
  <c r="J255" i="24"/>
  <c r="W317" i="24"/>
  <c r="F288" i="24" l="1"/>
  <c r="F302" i="24" s="1"/>
  <c r="Y313" i="24" s="1"/>
  <c r="S313" i="24"/>
  <c r="S329" i="24"/>
  <c r="D342" i="24"/>
  <c r="F342" i="24" l="1"/>
  <c r="F385" i="24" s="1"/>
  <c r="W329" i="24"/>
  <c r="D385" i="24"/>
  <c r="D352" i="24"/>
  <c r="D359" i="24" s="1"/>
  <c r="D402" i="24" s="1"/>
  <c r="F352" i="24" l="1"/>
  <c r="F359" i="24" s="1"/>
  <c r="F402" i="24" s="1"/>
  <c r="F412" i="24"/>
  <c r="D425" i="24"/>
  <c r="D450" i="24" s="1"/>
  <c r="D459" i="24" s="1"/>
  <c r="D468" i="24" s="1"/>
  <c r="D488" i="24" s="1"/>
  <c r="D501" i="24" s="1"/>
  <c r="D552" i="24" s="1"/>
  <c r="D573" i="24" s="1"/>
  <c r="S536" i="24" l="1"/>
  <c r="W536" i="24" s="1"/>
  <c r="D630" i="24"/>
  <c r="D647" i="24" s="1"/>
  <c r="AB283" i="28" l="1"/>
  <c r="AG272" i="28"/>
  <c r="H232" i="28"/>
  <c r="AD335" i="24" l="1"/>
  <c r="A54" i="28" l="1"/>
  <c r="B51" i="24"/>
  <c r="A66" i="28" l="1"/>
  <c r="B73" i="24"/>
  <c r="A79" i="28" l="1"/>
  <c r="B87" i="24"/>
  <c r="A98" i="28" l="1"/>
  <c r="B106" i="24"/>
  <c r="A107" i="28" l="1"/>
  <c r="A133" i="28" l="1"/>
  <c r="B150" i="24"/>
  <c r="A142" i="28" l="1"/>
  <c r="B159" i="24"/>
  <c r="A150" i="28" l="1"/>
  <c r="A169" i="28"/>
  <c r="B183" i="24"/>
  <c r="B167" i="24"/>
  <c r="B203" i="24" l="1"/>
  <c r="A180" i="28"/>
  <c r="A189" i="28" l="1"/>
  <c r="B213" i="24"/>
  <c r="A198" i="28" l="1"/>
  <c r="B222" i="24"/>
  <c r="A208" i="28" l="1"/>
  <c r="B233" i="24"/>
  <c r="B257" i="24" l="1"/>
  <c r="A225" i="28"/>
  <c r="B285" i="24" l="1"/>
  <c r="A234" i="28"/>
  <c r="B299" i="24" l="1"/>
  <c r="A247" i="28"/>
  <c r="B69" i="24"/>
  <c r="A259" i="28" l="1"/>
  <c r="A64" i="28"/>
  <c r="B311" i="24"/>
  <c r="B326" i="24" l="1"/>
  <c r="A274" i="28"/>
  <c r="B133" i="24"/>
  <c r="A121" i="28"/>
  <c r="A264" i="28"/>
  <c r="A261" i="28"/>
  <c r="B319" i="24"/>
  <c r="B322" i="24"/>
  <c r="G48" i="3"/>
  <c r="B339" i="24" l="1"/>
  <c r="A296" i="28"/>
  <c r="A287" i="28"/>
  <c r="A285" i="28"/>
  <c r="B337" i="24"/>
  <c r="B349" i="24"/>
  <c r="B409" i="24" l="1"/>
  <c r="A341" i="28"/>
  <c r="B357" i="24"/>
  <c r="A304" i="28"/>
  <c r="B383" i="24"/>
  <c r="F21" i="25"/>
  <c r="F22" i="25" s="1"/>
  <c r="F27" i="25" s="1"/>
  <c r="F50" i="25" s="1"/>
  <c r="A353" i="28" l="1"/>
  <c r="B392" i="24"/>
  <c r="B420" i="24"/>
  <c r="A376" i="28"/>
  <c r="B445" i="24"/>
  <c r="A361" i="28"/>
  <c r="B439" i="24"/>
  <c r="B418" i="24"/>
  <c r="A378" i="28"/>
  <c r="A381" i="28"/>
  <c r="A359" i="28"/>
  <c r="B441" i="24"/>
  <c r="A316" i="28"/>
  <c r="B369" i="24"/>
  <c r="A356" i="28"/>
  <c r="B395" i="24"/>
  <c r="A330" i="28"/>
  <c r="B398" i="24"/>
  <c r="A338" i="28"/>
  <c r="B406" i="24"/>
  <c r="B465" i="24" l="1"/>
  <c r="A401" i="28"/>
  <c r="B485" i="24" l="1"/>
  <c r="A421" i="28"/>
  <c r="B543" i="24" l="1"/>
  <c r="B525" i="24"/>
  <c r="A512" i="28"/>
  <c r="A488" i="28"/>
  <c r="B514" i="24"/>
  <c r="A458" i="28"/>
  <c r="B612" i="24"/>
  <c r="A435" i="28"/>
  <c r="B498" i="24"/>
  <c r="A450" i="28"/>
  <c r="B522" i="24"/>
  <c r="A461" i="28"/>
  <c r="A501" i="28"/>
  <c r="A63" i="28"/>
  <c r="B625" i="24"/>
  <c r="A568" i="28"/>
  <c r="A529" i="28"/>
  <c r="A565" i="28"/>
  <c r="A521" i="28"/>
  <c r="A544" i="28"/>
  <c r="A479" i="28"/>
  <c r="D1660" i="3" l="1"/>
  <c r="E1660" i="3"/>
  <c r="H11" i="25" l="1"/>
  <c r="I11" i="25" s="1"/>
  <c r="F1660" i="3" l="1"/>
  <c r="G196" i="28" l="1"/>
  <c r="G1659" i="3"/>
  <c r="H1659" i="3" s="1"/>
  <c r="G1658" i="3"/>
  <c r="H1658" i="3" s="1"/>
  <c r="G1657" i="3"/>
  <c r="H1657" i="3" s="1"/>
  <c r="G1656" i="3"/>
  <c r="H1656" i="3" s="1"/>
  <c r="G1655" i="3"/>
  <c r="H1655" i="3" s="1"/>
  <c r="G1654" i="3"/>
  <c r="H1654" i="3" s="1"/>
  <c r="G1653" i="3"/>
  <c r="H1653" i="3" s="1"/>
  <c r="G1652" i="3"/>
  <c r="H1652" i="3" s="1"/>
  <c r="G1651" i="3"/>
  <c r="H1651" i="3" s="1"/>
  <c r="G1650" i="3"/>
  <c r="H1650" i="3" s="1"/>
  <c r="G1649" i="3"/>
  <c r="H1649" i="3" s="1"/>
  <c r="G1648" i="3"/>
  <c r="H1648" i="3" s="1"/>
  <c r="G1647" i="3"/>
  <c r="H1647" i="3" s="1"/>
  <c r="G1646" i="3"/>
  <c r="H1646" i="3" s="1"/>
  <c r="G1645" i="3"/>
  <c r="H1645" i="3" s="1"/>
  <c r="G1644" i="3"/>
  <c r="H1644" i="3" s="1"/>
  <c r="G1643" i="3"/>
  <c r="H1643" i="3" s="1"/>
  <c r="G1642" i="3"/>
  <c r="H1642" i="3" s="1"/>
  <c r="G1641" i="3"/>
  <c r="H1641" i="3" s="1"/>
  <c r="G1640" i="3"/>
  <c r="H1640" i="3" s="1"/>
  <c r="G1639" i="3"/>
  <c r="H1639" i="3" s="1"/>
  <c r="G1638" i="3"/>
  <c r="H1638" i="3" s="1"/>
  <c r="G1637" i="3"/>
  <c r="H1637" i="3" s="1"/>
  <c r="G1636" i="3"/>
  <c r="H1636" i="3" s="1"/>
  <c r="G1635" i="3"/>
  <c r="H1635" i="3" s="1"/>
  <c r="G1634" i="3"/>
  <c r="H1634" i="3" s="1"/>
  <c r="G1633" i="3"/>
  <c r="H1633" i="3" s="1"/>
  <c r="G1632" i="3"/>
  <c r="H1632" i="3" s="1"/>
  <c r="G1631" i="3"/>
  <c r="H1631" i="3" s="1"/>
  <c r="G1630" i="3"/>
  <c r="H1630" i="3" s="1"/>
  <c r="G1629" i="3"/>
  <c r="H1629" i="3" s="1"/>
  <c r="G1628" i="3"/>
  <c r="H1628" i="3" s="1"/>
  <c r="G1627" i="3"/>
  <c r="H1627" i="3" s="1"/>
  <c r="G1626" i="3"/>
  <c r="H1626" i="3" s="1"/>
  <c r="G1625" i="3"/>
  <c r="H1625" i="3" s="1"/>
  <c r="G1624" i="3"/>
  <c r="H1624" i="3" s="1"/>
  <c r="G1623" i="3"/>
  <c r="H1623" i="3" s="1"/>
  <c r="G1622" i="3"/>
  <c r="H1622" i="3" s="1"/>
  <c r="G1621" i="3"/>
  <c r="H1621" i="3" s="1"/>
  <c r="G1620" i="3"/>
  <c r="H1620" i="3" s="1"/>
  <c r="G1619" i="3"/>
  <c r="H1619" i="3" s="1"/>
  <c r="G1618" i="3"/>
  <c r="H1618" i="3" s="1"/>
  <c r="G1617" i="3"/>
  <c r="H1617" i="3" s="1"/>
  <c r="G1616" i="3"/>
  <c r="H1616" i="3" s="1"/>
  <c r="G1615" i="3"/>
  <c r="H1615" i="3" s="1"/>
  <c r="G1614" i="3"/>
  <c r="H1614" i="3" s="1"/>
  <c r="G1613" i="3"/>
  <c r="H1613" i="3" s="1"/>
  <c r="G1612" i="3"/>
  <c r="H1612" i="3" s="1"/>
  <c r="G1611" i="3"/>
  <c r="H1611" i="3" s="1"/>
  <c r="G1610" i="3"/>
  <c r="H1610" i="3" s="1"/>
  <c r="G1609" i="3"/>
  <c r="H1609" i="3" s="1"/>
  <c r="G1608" i="3"/>
  <c r="H1608" i="3" s="1"/>
  <c r="G1607" i="3"/>
  <c r="H1607" i="3" s="1"/>
  <c r="G1606" i="3"/>
  <c r="H1606" i="3" s="1"/>
  <c r="G1605" i="3"/>
  <c r="H1605" i="3" s="1"/>
  <c r="G1604" i="3"/>
  <c r="H1604" i="3" s="1"/>
  <c r="G1603" i="3"/>
  <c r="H1603" i="3" s="1"/>
  <c r="G1602" i="3"/>
  <c r="H1602" i="3" s="1"/>
  <c r="G1601" i="3"/>
  <c r="H1601" i="3" s="1"/>
  <c r="G1600" i="3"/>
  <c r="H1600" i="3" s="1"/>
  <c r="G1599" i="3"/>
  <c r="H1599" i="3" s="1"/>
  <c r="G1598" i="3"/>
  <c r="H1598" i="3" s="1"/>
  <c r="G1597" i="3"/>
  <c r="H1597" i="3" s="1"/>
  <c r="G1596" i="3"/>
  <c r="H1596" i="3" s="1"/>
  <c r="G1595" i="3"/>
  <c r="H1595" i="3" s="1"/>
  <c r="G1594" i="3"/>
  <c r="H1594" i="3" s="1"/>
  <c r="G1593" i="3"/>
  <c r="H1593" i="3" s="1"/>
  <c r="G1592" i="3"/>
  <c r="H1592" i="3" s="1"/>
  <c r="G1591" i="3"/>
  <c r="H1591" i="3" s="1"/>
  <c r="G1590" i="3"/>
  <c r="H1590" i="3" s="1"/>
  <c r="G1589" i="3"/>
  <c r="H1589" i="3" s="1"/>
  <c r="G1588" i="3"/>
  <c r="H1588" i="3" s="1"/>
  <c r="G1587" i="3"/>
  <c r="H1587" i="3" s="1"/>
  <c r="G1586" i="3"/>
  <c r="H1586" i="3" s="1"/>
  <c r="G1585" i="3"/>
  <c r="H1585" i="3" s="1"/>
  <c r="G1584" i="3"/>
  <c r="H1584" i="3" s="1"/>
  <c r="G1583" i="3"/>
  <c r="H1583" i="3" s="1"/>
  <c r="G1582" i="3"/>
  <c r="H1582" i="3" s="1"/>
  <c r="G1581" i="3"/>
  <c r="H1581" i="3" s="1"/>
  <c r="G1580" i="3"/>
  <c r="H1580" i="3" s="1"/>
  <c r="G1579" i="3"/>
  <c r="H1579" i="3" s="1"/>
  <c r="G1578" i="3"/>
  <c r="H1578" i="3" s="1"/>
  <c r="G1577" i="3"/>
  <c r="H1577" i="3" s="1"/>
  <c r="G1576" i="3"/>
  <c r="H1576" i="3" s="1"/>
  <c r="G1575" i="3"/>
  <c r="H1575" i="3" s="1"/>
  <c r="G1574" i="3"/>
  <c r="H1574" i="3" s="1"/>
  <c r="G1573" i="3"/>
  <c r="H1573" i="3" s="1"/>
  <c r="G1572" i="3"/>
  <c r="H1572" i="3" s="1"/>
  <c r="G1571" i="3"/>
  <c r="H1571" i="3" s="1"/>
  <c r="G1570" i="3"/>
  <c r="H1570" i="3" s="1"/>
  <c r="G1569" i="3"/>
  <c r="H1569" i="3" s="1"/>
  <c r="G1568" i="3"/>
  <c r="H1568" i="3" s="1"/>
  <c r="G1567" i="3"/>
  <c r="H1567" i="3" s="1"/>
  <c r="G1566" i="3"/>
  <c r="H1566" i="3" s="1"/>
  <c r="G1565" i="3"/>
  <c r="H1565" i="3" s="1"/>
  <c r="G1564" i="3"/>
  <c r="H1564" i="3" s="1"/>
  <c r="G1563" i="3"/>
  <c r="H1563" i="3" s="1"/>
  <c r="G1562" i="3"/>
  <c r="H1562" i="3" s="1"/>
  <c r="G1561" i="3"/>
  <c r="H1561" i="3" s="1"/>
  <c r="G1560" i="3"/>
  <c r="H1560" i="3" s="1"/>
  <c r="G1559" i="3"/>
  <c r="H1559" i="3" s="1"/>
  <c r="G1558" i="3"/>
  <c r="H1558" i="3" s="1"/>
  <c r="G1557" i="3"/>
  <c r="H1557" i="3" s="1"/>
  <c r="G1556" i="3"/>
  <c r="H1556" i="3" s="1"/>
  <c r="G1555" i="3"/>
  <c r="H1555" i="3" s="1"/>
  <c r="G1554" i="3"/>
  <c r="H1554" i="3" s="1"/>
  <c r="G1553" i="3"/>
  <c r="H1553" i="3" s="1"/>
  <c r="G1552" i="3"/>
  <c r="H1552" i="3" s="1"/>
  <c r="G1551" i="3"/>
  <c r="H1551" i="3" s="1"/>
  <c r="G1550" i="3"/>
  <c r="H1550" i="3" s="1"/>
  <c r="G1549" i="3"/>
  <c r="H1549" i="3" s="1"/>
  <c r="G1548" i="3"/>
  <c r="H1548" i="3" s="1"/>
  <c r="G1547" i="3"/>
  <c r="H1547" i="3" s="1"/>
  <c r="G1546" i="3"/>
  <c r="H1546" i="3" s="1"/>
  <c r="G1545" i="3"/>
  <c r="H1545" i="3" s="1"/>
  <c r="G1544" i="3"/>
  <c r="H1544" i="3" s="1"/>
  <c r="G1543" i="3"/>
  <c r="H1543" i="3" s="1"/>
  <c r="G1542" i="3"/>
  <c r="H1542" i="3" s="1"/>
  <c r="G1541" i="3"/>
  <c r="H1541" i="3" s="1"/>
  <c r="G1540" i="3"/>
  <c r="H1540" i="3" s="1"/>
  <c r="G1539" i="3"/>
  <c r="H1539" i="3" s="1"/>
  <c r="G1538" i="3"/>
  <c r="H1538" i="3" s="1"/>
  <c r="G1537" i="3"/>
  <c r="H1537" i="3" s="1"/>
  <c r="G1536" i="3"/>
  <c r="H1536" i="3" s="1"/>
  <c r="G1535" i="3"/>
  <c r="H1535" i="3" s="1"/>
  <c r="G1534" i="3"/>
  <c r="H1534" i="3" s="1"/>
  <c r="G1533" i="3"/>
  <c r="H1533" i="3" s="1"/>
  <c r="G1532" i="3"/>
  <c r="H1532" i="3" s="1"/>
  <c r="G1531" i="3"/>
  <c r="H1531" i="3" s="1"/>
  <c r="G1530" i="3"/>
  <c r="H1530" i="3" s="1"/>
  <c r="G1529" i="3"/>
  <c r="H1529" i="3" s="1"/>
  <c r="G1528" i="3"/>
  <c r="H1528" i="3" s="1"/>
  <c r="G1527" i="3"/>
  <c r="H1527" i="3" s="1"/>
  <c r="G1526" i="3"/>
  <c r="H1526" i="3" s="1"/>
  <c r="G1525" i="3"/>
  <c r="H1525" i="3" s="1"/>
  <c r="G1524" i="3"/>
  <c r="H1524" i="3" s="1"/>
  <c r="G1523" i="3"/>
  <c r="H1523" i="3" s="1"/>
  <c r="G1522" i="3"/>
  <c r="H1522" i="3" s="1"/>
  <c r="G1521" i="3"/>
  <c r="H1521" i="3" s="1"/>
  <c r="G1520" i="3"/>
  <c r="H1520" i="3" s="1"/>
  <c r="G1519" i="3"/>
  <c r="H1519" i="3" s="1"/>
  <c r="G1518" i="3"/>
  <c r="H1518" i="3" s="1"/>
  <c r="G1517" i="3"/>
  <c r="H1517" i="3" s="1"/>
  <c r="G1516" i="3"/>
  <c r="H1516" i="3" s="1"/>
  <c r="G1515" i="3"/>
  <c r="H1515" i="3" s="1"/>
  <c r="G1514" i="3"/>
  <c r="H1514" i="3" s="1"/>
  <c r="G1513" i="3"/>
  <c r="H1513" i="3" s="1"/>
  <c r="G1512" i="3"/>
  <c r="H1512" i="3" s="1"/>
  <c r="G1511" i="3"/>
  <c r="H1511" i="3" s="1"/>
  <c r="G1510" i="3"/>
  <c r="H1510" i="3" s="1"/>
  <c r="G1509" i="3"/>
  <c r="H1509" i="3" s="1"/>
  <c r="G1508" i="3"/>
  <c r="H1508" i="3" s="1"/>
  <c r="G1507" i="3"/>
  <c r="H1507" i="3" s="1"/>
  <c r="G1506" i="3"/>
  <c r="H1506" i="3" s="1"/>
  <c r="G1505" i="3"/>
  <c r="H1505" i="3" s="1"/>
  <c r="G1504" i="3"/>
  <c r="H1504" i="3" s="1"/>
  <c r="G1503" i="3"/>
  <c r="H1503" i="3" s="1"/>
  <c r="G1502" i="3"/>
  <c r="H1502" i="3" s="1"/>
  <c r="G1501" i="3"/>
  <c r="H1501" i="3" s="1"/>
  <c r="G1500" i="3"/>
  <c r="H1500" i="3" s="1"/>
  <c r="G1499" i="3"/>
  <c r="H1499" i="3" s="1"/>
  <c r="G1498" i="3"/>
  <c r="H1498" i="3" s="1"/>
  <c r="G1497" i="3"/>
  <c r="H1497" i="3" s="1"/>
  <c r="G1496" i="3"/>
  <c r="H1496" i="3" s="1"/>
  <c r="G1495" i="3"/>
  <c r="H1495" i="3" s="1"/>
  <c r="G1494" i="3"/>
  <c r="H1494" i="3" s="1"/>
  <c r="G1493" i="3"/>
  <c r="H1493" i="3" s="1"/>
  <c r="G1492" i="3"/>
  <c r="H1492" i="3" s="1"/>
  <c r="G1491" i="3"/>
  <c r="H1491" i="3" s="1"/>
  <c r="G1490" i="3"/>
  <c r="H1490" i="3" s="1"/>
  <c r="G1489" i="3"/>
  <c r="H1489" i="3" s="1"/>
  <c r="G1488" i="3"/>
  <c r="H1488" i="3" s="1"/>
  <c r="G1487" i="3"/>
  <c r="H1487" i="3" s="1"/>
  <c r="G1486" i="3"/>
  <c r="H1486" i="3" s="1"/>
  <c r="G1485" i="3"/>
  <c r="H1485" i="3" s="1"/>
  <c r="G1484" i="3"/>
  <c r="H1484" i="3" s="1"/>
  <c r="G1483" i="3"/>
  <c r="H1483" i="3" s="1"/>
  <c r="G1482" i="3"/>
  <c r="H1482" i="3" s="1"/>
  <c r="G1481" i="3"/>
  <c r="H1481" i="3" s="1"/>
  <c r="G1480" i="3"/>
  <c r="H1480" i="3" s="1"/>
  <c r="G1479" i="3"/>
  <c r="H1479" i="3" s="1"/>
  <c r="G1478" i="3"/>
  <c r="H1478" i="3" s="1"/>
  <c r="G1477" i="3"/>
  <c r="H1477" i="3" s="1"/>
  <c r="G1476" i="3"/>
  <c r="H1476" i="3" s="1"/>
  <c r="G1475" i="3"/>
  <c r="H1475" i="3" s="1"/>
  <c r="G1474" i="3"/>
  <c r="H1474" i="3" s="1"/>
  <c r="G1473" i="3"/>
  <c r="H1473" i="3" s="1"/>
  <c r="G1472" i="3"/>
  <c r="H1472" i="3" s="1"/>
  <c r="G1471" i="3"/>
  <c r="H1471" i="3" s="1"/>
  <c r="G1470" i="3"/>
  <c r="H1470" i="3" s="1"/>
  <c r="G1469" i="3"/>
  <c r="H1469" i="3" s="1"/>
  <c r="G1468" i="3"/>
  <c r="H1468" i="3" s="1"/>
  <c r="G1467" i="3"/>
  <c r="H1467" i="3" s="1"/>
  <c r="G1466" i="3"/>
  <c r="H1466" i="3" s="1"/>
  <c r="G1465" i="3"/>
  <c r="H1465" i="3" s="1"/>
  <c r="G1464" i="3"/>
  <c r="H1464" i="3" s="1"/>
  <c r="G1463" i="3"/>
  <c r="H1463" i="3" s="1"/>
  <c r="G1462" i="3"/>
  <c r="H1462" i="3" s="1"/>
  <c r="G1461" i="3"/>
  <c r="H1461" i="3" s="1"/>
  <c r="G1460" i="3"/>
  <c r="H1460" i="3" s="1"/>
  <c r="G1459" i="3"/>
  <c r="H1459" i="3" s="1"/>
  <c r="G1458" i="3"/>
  <c r="H1458" i="3" s="1"/>
  <c r="G1457" i="3"/>
  <c r="H1457" i="3" s="1"/>
  <c r="G1456" i="3"/>
  <c r="H1456" i="3" s="1"/>
  <c r="G1455" i="3"/>
  <c r="H1455" i="3" s="1"/>
  <c r="G1454" i="3"/>
  <c r="H1454" i="3" s="1"/>
  <c r="G1453" i="3"/>
  <c r="H1453" i="3" s="1"/>
  <c r="G1452" i="3"/>
  <c r="H1452" i="3" s="1"/>
  <c r="G1451" i="3"/>
  <c r="H1451" i="3" s="1"/>
  <c r="G1450" i="3"/>
  <c r="H1450" i="3" s="1"/>
  <c r="G1449" i="3"/>
  <c r="H1449" i="3" s="1"/>
  <c r="G1448" i="3"/>
  <c r="H1448" i="3" s="1"/>
  <c r="G1447" i="3"/>
  <c r="H1447" i="3" s="1"/>
  <c r="G1446" i="3"/>
  <c r="H1446" i="3" s="1"/>
  <c r="G1445" i="3"/>
  <c r="H1445" i="3" s="1"/>
  <c r="G1444" i="3"/>
  <c r="H1444" i="3" s="1"/>
  <c r="G1443" i="3"/>
  <c r="H1443" i="3" s="1"/>
  <c r="G1442" i="3"/>
  <c r="H1442" i="3" s="1"/>
  <c r="G1441" i="3"/>
  <c r="H1441" i="3" s="1"/>
  <c r="G1440" i="3"/>
  <c r="H1440" i="3" s="1"/>
  <c r="G1439" i="3"/>
  <c r="H1439" i="3" s="1"/>
  <c r="G1438" i="3"/>
  <c r="H1438" i="3" s="1"/>
  <c r="G1437" i="3"/>
  <c r="H1437" i="3" s="1"/>
  <c r="G1436" i="3"/>
  <c r="H1436" i="3" s="1"/>
  <c r="G1435" i="3"/>
  <c r="H1435" i="3" s="1"/>
  <c r="G1434" i="3"/>
  <c r="H1434" i="3" s="1"/>
  <c r="G1433" i="3"/>
  <c r="H1433" i="3" s="1"/>
  <c r="G1432" i="3"/>
  <c r="H1432" i="3" s="1"/>
  <c r="G1431" i="3"/>
  <c r="H1431" i="3" s="1"/>
  <c r="G1430" i="3"/>
  <c r="H1430" i="3" s="1"/>
  <c r="G1429" i="3"/>
  <c r="H1429" i="3" s="1"/>
  <c r="G1428" i="3"/>
  <c r="H1428" i="3" s="1"/>
  <c r="G1427" i="3"/>
  <c r="H1427" i="3" s="1"/>
  <c r="G1426" i="3"/>
  <c r="H1426" i="3" s="1"/>
  <c r="G1425" i="3"/>
  <c r="H1425" i="3" s="1"/>
  <c r="G1424" i="3"/>
  <c r="H1424" i="3" s="1"/>
  <c r="G1423" i="3"/>
  <c r="H1423" i="3" s="1"/>
  <c r="G1422" i="3"/>
  <c r="H1422" i="3" s="1"/>
  <c r="G1421" i="3"/>
  <c r="H1421" i="3" s="1"/>
  <c r="G1420" i="3"/>
  <c r="H1420" i="3" s="1"/>
  <c r="G1419" i="3"/>
  <c r="H1419" i="3" s="1"/>
  <c r="G1418" i="3"/>
  <c r="H1418" i="3" s="1"/>
  <c r="G1417" i="3"/>
  <c r="H1417" i="3" s="1"/>
  <c r="G1416" i="3"/>
  <c r="H1416" i="3" s="1"/>
  <c r="G1415" i="3"/>
  <c r="H1415" i="3" s="1"/>
  <c r="G1414" i="3"/>
  <c r="H1414" i="3" s="1"/>
  <c r="G1413" i="3"/>
  <c r="H1413" i="3" s="1"/>
  <c r="G1412" i="3"/>
  <c r="H1412" i="3" s="1"/>
  <c r="G1411" i="3"/>
  <c r="H1411" i="3" s="1"/>
  <c r="G1410" i="3"/>
  <c r="H1410" i="3" s="1"/>
  <c r="G1409" i="3"/>
  <c r="H1409" i="3" s="1"/>
  <c r="G1408" i="3"/>
  <c r="H1408" i="3" s="1"/>
  <c r="G1407" i="3"/>
  <c r="H1407" i="3" s="1"/>
  <c r="G1406" i="3"/>
  <c r="H1406" i="3" s="1"/>
  <c r="G1405" i="3"/>
  <c r="H1405" i="3" s="1"/>
  <c r="G1404" i="3"/>
  <c r="H1404" i="3" s="1"/>
  <c r="G1403" i="3"/>
  <c r="H1403" i="3" s="1"/>
  <c r="G1402" i="3"/>
  <c r="H1402" i="3" s="1"/>
  <c r="G1401" i="3"/>
  <c r="H1401" i="3" s="1"/>
  <c r="G1400" i="3"/>
  <c r="H1400" i="3" s="1"/>
  <c r="G1399" i="3"/>
  <c r="H1399" i="3" s="1"/>
  <c r="G1398" i="3"/>
  <c r="H1398" i="3" s="1"/>
  <c r="G1397" i="3"/>
  <c r="H1397" i="3" s="1"/>
  <c r="G1396" i="3"/>
  <c r="H1396" i="3" s="1"/>
  <c r="G1395" i="3"/>
  <c r="H1395" i="3" s="1"/>
  <c r="G1394" i="3"/>
  <c r="H1394" i="3" s="1"/>
  <c r="G1393" i="3"/>
  <c r="H1393" i="3" s="1"/>
  <c r="G1392" i="3"/>
  <c r="H1392" i="3" s="1"/>
  <c r="G1391" i="3"/>
  <c r="H1391" i="3" s="1"/>
  <c r="G1390" i="3"/>
  <c r="H1390" i="3" s="1"/>
  <c r="G1389" i="3"/>
  <c r="H1389" i="3" s="1"/>
  <c r="G1388" i="3"/>
  <c r="H1388" i="3" s="1"/>
  <c r="G1387" i="3"/>
  <c r="H1387" i="3" s="1"/>
  <c r="G1386" i="3"/>
  <c r="H1386" i="3" s="1"/>
  <c r="G1385" i="3"/>
  <c r="H1385" i="3" s="1"/>
  <c r="G1384" i="3"/>
  <c r="H1384" i="3" s="1"/>
  <c r="G1383" i="3"/>
  <c r="H1383" i="3" s="1"/>
  <c r="G1382" i="3"/>
  <c r="H1382" i="3" s="1"/>
  <c r="G1381" i="3"/>
  <c r="H1381" i="3" s="1"/>
  <c r="G1380" i="3"/>
  <c r="H1380" i="3" s="1"/>
  <c r="G1379" i="3"/>
  <c r="H1379" i="3" s="1"/>
  <c r="G1378" i="3"/>
  <c r="H1378" i="3" s="1"/>
  <c r="G1377" i="3"/>
  <c r="H1377" i="3" s="1"/>
  <c r="G1376" i="3"/>
  <c r="H1376" i="3" s="1"/>
  <c r="G1375" i="3"/>
  <c r="H1375" i="3" s="1"/>
  <c r="G1374" i="3"/>
  <c r="H1374" i="3" s="1"/>
  <c r="G1373" i="3"/>
  <c r="H1373" i="3" s="1"/>
  <c r="G1372" i="3"/>
  <c r="H1372" i="3" s="1"/>
  <c r="G1371" i="3"/>
  <c r="H1371" i="3" s="1"/>
  <c r="G1370" i="3"/>
  <c r="H1370" i="3" s="1"/>
  <c r="G1369" i="3"/>
  <c r="H1369" i="3" s="1"/>
  <c r="G1368" i="3"/>
  <c r="H1368" i="3" s="1"/>
  <c r="G1367" i="3"/>
  <c r="H1367" i="3" s="1"/>
  <c r="G1366" i="3"/>
  <c r="H1366" i="3" s="1"/>
  <c r="G1365" i="3"/>
  <c r="H1365" i="3" s="1"/>
  <c r="G1364" i="3"/>
  <c r="H1364" i="3" s="1"/>
  <c r="G1363" i="3"/>
  <c r="H1363" i="3" s="1"/>
  <c r="G1362" i="3"/>
  <c r="H1362" i="3" s="1"/>
  <c r="G1361" i="3"/>
  <c r="H1361" i="3" s="1"/>
  <c r="G1360" i="3"/>
  <c r="H1360" i="3" s="1"/>
  <c r="G1359" i="3"/>
  <c r="H1359" i="3" s="1"/>
  <c r="G1358" i="3"/>
  <c r="H1358" i="3" s="1"/>
  <c r="G1357" i="3"/>
  <c r="H1357" i="3" s="1"/>
  <c r="G1356" i="3"/>
  <c r="H1356" i="3" s="1"/>
  <c r="G1355" i="3"/>
  <c r="H1355" i="3" s="1"/>
  <c r="G1354" i="3"/>
  <c r="H1354" i="3" s="1"/>
  <c r="G1353" i="3"/>
  <c r="H1353" i="3" s="1"/>
  <c r="G1352" i="3"/>
  <c r="H1352" i="3" s="1"/>
  <c r="G1351" i="3"/>
  <c r="H1351" i="3" s="1"/>
  <c r="G1350" i="3"/>
  <c r="H1350" i="3" s="1"/>
  <c r="G1349" i="3"/>
  <c r="H1349" i="3" s="1"/>
  <c r="G1348" i="3"/>
  <c r="H1348" i="3" s="1"/>
  <c r="G1347" i="3"/>
  <c r="H1347" i="3" s="1"/>
  <c r="G1346" i="3"/>
  <c r="H1346" i="3" s="1"/>
  <c r="G1345" i="3"/>
  <c r="H1345" i="3" s="1"/>
  <c r="G1344" i="3"/>
  <c r="H1344" i="3" s="1"/>
  <c r="G1343" i="3"/>
  <c r="H1343" i="3" s="1"/>
  <c r="G1342" i="3"/>
  <c r="H1342" i="3" s="1"/>
  <c r="G1341" i="3"/>
  <c r="H1341" i="3" s="1"/>
  <c r="G1340" i="3"/>
  <c r="H1340" i="3" s="1"/>
  <c r="G1339" i="3"/>
  <c r="H1339" i="3" s="1"/>
  <c r="G1338" i="3"/>
  <c r="H1338" i="3" s="1"/>
  <c r="G1337" i="3"/>
  <c r="H1337" i="3" s="1"/>
  <c r="G1336" i="3"/>
  <c r="H1336" i="3" s="1"/>
  <c r="G1335" i="3"/>
  <c r="H1335" i="3" s="1"/>
  <c r="G1334" i="3"/>
  <c r="H1334" i="3" s="1"/>
  <c r="G1333" i="3"/>
  <c r="H1333" i="3" s="1"/>
  <c r="G1332" i="3"/>
  <c r="H1332" i="3" s="1"/>
  <c r="G1331" i="3"/>
  <c r="H1331" i="3" s="1"/>
  <c r="G1330" i="3"/>
  <c r="H1330" i="3" s="1"/>
  <c r="G1329" i="3"/>
  <c r="H1329" i="3" s="1"/>
  <c r="G1328" i="3"/>
  <c r="H1328" i="3" s="1"/>
  <c r="G1327" i="3"/>
  <c r="H1327" i="3" s="1"/>
  <c r="G1326" i="3"/>
  <c r="H1326" i="3" s="1"/>
  <c r="G1325" i="3"/>
  <c r="H1325" i="3" s="1"/>
  <c r="G1324" i="3"/>
  <c r="H1324" i="3" s="1"/>
  <c r="G1323" i="3"/>
  <c r="H1323" i="3" s="1"/>
  <c r="G1322" i="3"/>
  <c r="H1322" i="3" s="1"/>
  <c r="G1321" i="3"/>
  <c r="H1321" i="3" s="1"/>
  <c r="G1320" i="3"/>
  <c r="H1320" i="3" s="1"/>
  <c r="G1319" i="3"/>
  <c r="H1319" i="3" s="1"/>
  <c r="G1318" i="3"/>
  <c r="H1318" i="3" s="1"/>
  <c r="G1317" i="3"/>
  <c r="H1317" i="3" s="1"/>
  <c r="G1316" i="3"/>
  <c r="H1316" i="3" s="1"/>
  <c r="G1315" i="3"/>
  <c r="H1315" i="3" s="1"/>
  <c r="G1314" i="3"/>
  <c r="H1314" i="3" s="1"/>
  <c r="G1313" i="3"/>
  <c r="H1313" i="3" s="1"/>
  <c r="G1312" i="3"/>
  <c r="H1312" i="3" s="1"/>
  <c r="G1311" i="3"/>
  <c r="H1311" i="3" s="1"/>
  <c r="G1310" i="3"/>
  <c r="H1310" i="3" s="1"/>
  <c r="G1309" i="3"/>
  <c r="H1309" i="3" s="1"/>
  <c r="G1308" i="3"/>
  <c r="H1308" i="3" s="1"/>
  <c r="G1307" i="3"/>
  <c r="H1307" i="3" s="1"/>
  <c r="G1306" i="3"/>
  <c r="H1306" i="3" s="1"/>
  <c r="G1305" i="3"/>
  <c r="H1305" i="3" s="1"/>
  <c r="G1304" i="3"/>
  <c r="H1304" i="3" s="1"/>
  <c r="G1303" i="3"/>
  <c r="H1303" i="3" s="1"/>
  <c r="G1302" i="3"/>
  <c r="H1302" i="3" s="1"/>
  <c r="G1301" i="3"/>
  <c r="H1301" i="3" s="1"/>
  <c r="G1300" i="3"/>
  <c r="H1300" i="3" s="1"/>
  <c r="G1299" i="3"/>
  <c r="H1299" i="3" s="1"/>
  <c r="G1298" i="3"/>
  <c r="H1298" i="3" s="1"/>
  <c r="G1297" i="3"/>
  <c r="H1297" i="3" s="1"/>
  <c r="G1296" i="3"/>
  <c r="H1296" i="3" s="1"/>
  <c r="G1295" i="3"/>
  <c r="H1295" i="3" s="1"/>
  <c r="G1294" i="3"/>
  <c r="H1294" i="3" s="1"/>
  <c r="G1293" i="3"/>
  <c r="H1293" i="3" s="1"/>
  <c r="G1292" i="3"/>
  <c r="H1292" i="3" s="1"/>
  <c r="G1291" i="3"/>
  <c r="H1291" i="3" s="1"/>
  <c r="G1290" i="3"/>
  <c r="H1290" i="3" s="1"/>
  <c r="G1289" i="3"/>
  <c r="H1289" i="3" s="1"/>
  <c r="G1288" i="3"/>
  <c r="H1288" i="3" s="1"/>
  <c r="G1287" i="3"/>
  <c r="H1287" i="3" s="1"/>
  <c r="G1286" i="3"/>
  <c r="H1286" i="3" s="1"/>
  <c r="G1285" i="3"/>
  <c r="H1285" i="3" s="1"/>
  <c r="G1284" i="3"/>
  <c r="H1284" i="3" s="1"/>
  <c r="G1283" i="3"/>
  <c r="H1283" i="3" s="1"/>
  <c r="G1282" i="3"/>
  <c r="H1282" i="3" s="1"/>
  <c r="G1281" i="3"/>
  <c r="H1281" i="3" s="1"/>
  <c r="G1280" i="3"/>
  <c r="H1280" i="3" s="1"/>
  <c r="G1279" i="3"/>
  <c r="H1279" i="3" s="1"/>
  <c r="G1278" i="3"/>
  <c r="H1278" i="3" s="1"/>
  <c r="G1277" i="3"/>
  <c r="H1277" i="3" s="1"/>
  <c r="G1276" i="3"/>
  <c r="H1276" i="3" s="1"/>
  <c r="G1275" i="3"/>
  <c r="H1275" i="3" s="1"/>
  <c r="G1274" i="3"/>
  <c r="H1274" i="3" s="1"/>
  <c r="G1273" i="3"/>
  <c r="H1273" i="3" s="1"/>
  <c r="G1272" i="3"/>
  <c r="H1272" i="3" s="1"/>
  <c r="G1271" i="3"/>
  <c r="H1271" i="3" s="1"/>
  <c r="G1270" i="3"/>
  <c r="H1270" i="3" s="1"/>
  <c r="G1269" i="3"/>
  <c r="H1269" i="3" s="1"/>
  <c r="G1268" i="3"/>
  <c r="H1268" i="3" s="1"/>
  <c r="G1267" i="3"/>
  <c r="H1267" i="3" s="1"/>
  <c r="G1266" i="3"/>
  <c r="H1266" i="3" s="1"/>
  <c r="G1265" i="3"/>
  <c r="H1265" i="3" s="1"/>
  <c r="G1264" i="3"/>
  <c r="H1264" i="3" s="1"/>
  <c r="G1263" i="3"/>
  <c r="H1263" i="3" s="1"/>
  <c r="G1262" i="3"/>
  <c r="H1262" i="3" s="1"/>
  <c r="G1261" i="3"/>
  <c r="H1261" i="3" s="1"/>
  <c r="G1260" i="3"/>
  <c r="H1260" i="3" s="1"/>
  <c r="G1259" i="3"/>
  <c r="H1259" i="3" s="1"/>
  <c r="G1258" i="3"/>
  <c r="H1258" i="3" s="1"/>
  <c r="G1257" i="3"/>
  <c r="H1257" i="3" s="1"/>
  <c r="G1256" i="3"/>
  <c r="H1256" i="3" s="1"/>
  <c r="G1255" i="3"/>
  <c r="H1255" i="3" s="1"/>
  <c r="G1254" i="3"/>
  <c r="H1254" i="3" s="1"/>
  <c r="G1253" i="3"/>
  <c r="H1253" i="3" s="1"/>
  <c r="G1252" i="3"/>
  <c r="H1252" i="3" s="1"/>
  <c r="G1251" i="3"/>
  <c r="H1251" i="3" s="1"/>
  <c r="G1250" i="3"/>
  <c r="H1250" i="3" s="1"/>
  <c r="G1249" i="3"/>
  <c r="H1249" i="3" s="1"/>
  <c r="G1248" i="3"/>
  <c r="H1248" i="3" s="1"/>
  <c r="G1247" i="3"/>
  <c r="H1247" i="3" s="1"/>
  <c r="G1246" i="3"/>
  <c r="H1246" i="3" s="1"/>
  <c r="G1245" i="3"/>
  <c r="H1245" i="3" s="1"/>
  <c r="G1244" i="3"/>
  <c r="H1244" i="3" s="1"/>
  <c r="G1243" i="3"/>
  <c r="H1243" i="3" s="1"/>
  <c r="G1242" i="3"/>
  <c r="H1242" i="3" s="1"/>
  <c r="G1241" i="3"/>
  <c r="H1241" i="3" s="1"/>
  <c r="G1240" i="3"/>
  <c r="H1240" i="3" s="1"/>
  <c r="G1239" i="3"/>
  <c r="H1239" i="3" s="1"/>
  <c r="G1238" i="3"/>
  <c r="H1238" i="3" s="1"/>
  <c r="G1237" i="3"/>
  <c r="H1237" i="3" s="1"/>
  <c r="G1236" i="3"/>
  <c r="H1236" i="3" s="1"/>
  <c r="G1235" i="3"/>
  <c r="H1235" i="3" s="1"/>
  <c r="G1234" i="3"/>
  <c r="H1234" i="3" s="1"/>
  <c r="G1233" i="3"/>
  <c r="H1233" i="3" s="1"/>
  <c r="G1232" i="3"/>
  <c r="H1232" i="3" s="1"/>
  <c r="G1231" i="3"/>
  <c r="H1231" i="3" s="1"/>
  <c r="G1230" i="3"/>
  <c r="H1230" i="3" s="1"/>
  <c r="G1229" i="3"/>
  <c r="H1229" i="3" s="1"/>
  <c r="G1228" i="3"/>
  <c r="H1228" i="3" s="1"/>
  <c r="G1227" i="3"/>
  <c r="H1227" i="3" s="1"/>
  <c r="G1226" i="3"/>
  <c r="H1226" i="3" s="1"/>
  <c r="G1225" i="3"/>
  <c r="H1225" i="3" s="1"/>
  <c r="G1224" i="3"/>
  <c r="H1224" i="3" s="1"/>
  <c r="G1223" i="3"/>
  <c r="H1223" i="3" s="1"/>
  <c r="G1222" i="3"/>
  <c r="H1222" i="3" s="1"/>
  <c r="G1221" i="3"/>
  <c r="H1221" i="3" s="1"/>
  <c r="G1220" i="3"/>
  <c r="H1220" i="3" s="1"/>
  <c r="G1219" i="3"/>
  <c r="H1219" i="3" s="1"/>
  <c r="G1218" i="3"/>
  <c r="H1218" i="3" s="1"/>
  <c r="G1217" i="3"/>
  <c r="H1217" i="3" s="1"/>
  <c r="G1216" i="3"/>
  <c r="H1216" i="3" s="1"/>
  <c r="G1215" i="3"/>
  <c r="H1215" i="3" s="1"/>
  <c r="G1214" i="3"/>
  <c r="H1214" i="3" s="1"/>
  <c r="G1213" i="3"/>
  <c r="H1213" i="3" s="1"/>
  <c r="G1212" i="3"/>
  <c r="H1212" i="3" s="1"/>
  <c r="G1211" i="3"/>
  <c r="H1211" i="3" s="1"/>
  <c r="G1210" i="3"/>
  <c r="H1210" i="3" s="1"/>
  <c r="G1209" i="3"/>
  <c r="H1209" i="3" s="1"/>
  <c r="G1208" i="3"/>
  <c r="H1208" i="3" s="1"/>
  <c r="G1207" i="3"/>
  <c r="H1207" i="3" s="1"/>
  <c r="G1206" i="3"/>
  <c r="H1206" i="3" s="1"/>
  <c r="G1205" i="3"/>
  <c r="H1205" i="3" s="1"/>
  <c r="G1204" i="3"/>
  <c r="H1204" i="3" s="1"/>
  <c r="G1203" i="3"/>
  <c r="H1203" i="3" s="1"/>
  <c r="G1202" i="3"/>
  <c r="H1202" i="3" s="1"/>
  <c r="G1201" i="3"/>
  <c r="H1201" i="3" s="1"/>
  <c r="G1200" i="3"/>
  <c r="H1200" i="3" s="1"/>
  <c r="G1199" i="3"/>
  <c r="H1199" i="3" s="1"/>
  <c r="G1198" i="3"/>
  <c r="H1198" i="3" s="1"/>
  <c r="G1197" i="3"/>
  <c r="H1197" i="3" s="1"/>
  <c r="G1196" i="3"/>
  <c r="H1196" i="3" s="1"/>
  <c r="G1195" i="3"/>
  <c r="H1195" i="3" s="1"/>
  <c r="G1194" i="3"/>
  <c r="H1194" i="3" s="1"/>
  <c r="G1193" i="3"/>
  <c r="H1193" i="3" s="1"/>
  <c r="G1192" i="3"/>
  <c r="H1192" i="3" s="1"/>
  <c r="G1191" i="3"/>
  <c r="H1191" i="3" s="1"/>
  <c r="G1190" i="3"/>
  <c r="H1190" i="3" s="1"/>
  <c r="G1189" i="3"/>
  <c r="H1189" i="3" s="1"/>
  <c r="G1188" i="3"/>
  <c r="H1188" i="3" s="1"/>
  <c r="G1187" i="3"/>
  <c r="H1187" i="3" s="1"/>
  <c r="G1186" i="3"/>
  <c r="H1186" i="3" s="1"/>
  <c r="G1185" i="3"/>
  <c r="H1185" i="3" s="1"/>
  <c r="G1184" i="3"/>
  <c r="H1184" i="3" s="1"/>
  <c r="G1183" i="3"/>
  <c r="H1183" i="3" s="1"/>
  <c r="G1182" i="3"/>
  <c r="H1182" i="3" s="1"/>
  <c r="G1181" i="3"/>
  <c r="H1181" i="3" s="1"/>
  <c r="G1180" i="3"/>
  <c r="H1180" i="3" s="1"/>
  <c r="G1179" i="3"/>
  <c r="H1179" i="3" s="1"/>
  <c r="G1178" i="3"/>
  <c r="H1178" i="3" s="1"/>
  <c r="G1177" i="3"/>
  <c r="H1177" i="3" s="1"/>
  <c r="G1176" i="3"/>
  <c r="H1176" i="3" s="1"/>
  <c r="G1175" i="3"/>
  <c r="H1175" i="3" s="1"/>
  <c r="G1174" i="3"/>
  <c r="H1174" i="3" s="1"/>
  <c r="G1173" i="3"/>
  <c r="H1173" i="3" s="1"/>
  <c r="G1172" i="3"/>
  <c r="H1172" i="3" s="1"/>
  <c r="G1171" i="3"/>
  <c r="H1171" i="3" s="1"/>
  <c r="G1170" i="3"/>
  <c r="H1170" i="3" s="1"/>
  <c r="G1169" i="3"/>
  <c r="H1169" i="3" s="1"/>
  <c r="G1168" i="3"/>
  <c r="H1168" i="3" s="1"/>
  <c r="G1167" i="3"/>
  <c r="H1167" i="3" s="1"/>
  <c r="G1166" i="3"/>
  <c r="H1166" i="3" s="1"/>
  <c r="G1165" i="3"/>
  <c r="H1165" i="3" s="1"/>
  <c r="G1164" i="3"/>
  <c r="H1164" i="3" s="1"/>
  <c r="G1163" i="3"/>
  <c r="H1163" i="3" s="1"/>
  <c r="G1162" i="3"/>
  <c r="H1162" i="3" s="1"/>
  <c r="G1161" i="3"/>
  <c r="H1161" i="3" s="1"/>
  <c r="G1160" i="3"/>
  <c r="H1160" i="3" s="1"/>
  <c r="G1159" i="3"/>
  <c r="H1159" i="3" s="1"/>
  <c r="G1158" i="3"/>
  <c r="H1158" i="3" s="1"/>
  <c r="G1157" i="3"/>
  <c r="H1157" i="3" s="1"/>
  <c r="G1156" i="3"/>
  <c r="H1156" i="3" s="1"/>
  <c r="G1155" i="3"/>
  <c r="H1155" i="3" s="1"/>
  <c r="G1154" i="3"/>
  <c r="H1154" i="3" s="1"/>
  <c r="G1153" i="3"/>
  <c r="H1153" i="3" s="1"/>
  <c r="G1152" i="3"/>
  <c r="H1152" i="3" s="1"/>
  <c r="G1151" i="3"/>
  <c r="H1151" i="3" s="1"/>
  <c r="G1150" i="3"/>
  <c r="H1150" i="3" s="1"/>
  <c r="G1149" i="3"/>
  <c r="H1149" i="3" s="1"/>
  <c r="G1148" i="3"/>
  <c r="H1148" i="3" s="1"/>
  <c r="G1147" i="3"/>
  <c r="H1147" i="3" s="1"/>
  <c r="G1146" i="3"/>
  <c r="H1146" i="3" s="1"/>
  <c r="G1145" i="3"/>
  <c r="H1145" i="3" s="1"/>
  <c r="G1144" i="3"/>
  <c r="H1144" i="3" s="1"/>
  <c r="G1143" i="3"/>
  <c r="H1143" i="3" s="1"/>
  <c r="G1142" i="3"/>
  <c r="H1142" i="3" s="1"/>
  <c r="G1141" i="3"/>
  <c r="H1141" i="3" s="1"/>
  <c r="G1140" i="3"/>
  <c r="H1140" i="3" s="1"/>
  <c r="G1139" i="3"/>
  <c r="H1139" i="3" s="1"/>
  <c r="G1138" i="3"/>
  <c r="H1138" i="3" s="1"/>
  <c r="G1137" i="3"/>
  <c r="H1137" i="3" s="1"/>
  <c r="G1136" i="3"/>
  <c r="H1136" i="3" s="1"/>
  <c r="G1135" i="3"/>
  <c r="H1135" i="3" s="1"/>
  <c r="G1134" i="3"/>
  <c r="H1134" i="3" s="1"/>
  <c r="G1133" i="3"/>
  <c r="H1133" i="3" s="1"/>
  <c r="G1132" i="3"/>
  <c r="H1132" i="3" s="1"/>
  <c r="G1131" i="3"/>
  <c r="H1131" i="3" s="1"/>
  <c r="G1130" i="3"/>
  <c r="H1130" i="3" s="1"/>
  <c r="G1129" i="3"/>
  <c r="H1129" i="3" s="1"/>
  <c r="G1128" i="3"/>
  <c r="H1128" i="3" s="1"/>
  <c r="G1127" i="3"/>
  <c r="H1127" i="3" s="1"/>
  <c r="G1126" i="3"/>
  <c r="H1126" i="3" s="1"/>
  <c r="G1125" i="3"/>
  <c r="H1125" i="3" s="1"/>
  <c r="G1124" i="3"/>
  <c r="H1124" i="3" s="1"/>
  <c r="G1123" i="3"/>
  <c r="H1123" i="3" s="1"/>
  <c r="G1122" i="3"/>
  <c r="H1122" i="3" s="1"/>
  <c r="G1121" i="3"/>
  <c r="H1121" i="3" s="1"/>
  <c r="G1120" i="3"/>
  <c r="H1120" i="3" s="1"/>
  <c r="G1119" i="3"/>
  <c r="H1119" i="3" s="1"/>
  <c r="G1118" i="3"/>
  <c r="H1118" i="3" s="1"/>
  <c r="G1117" i="3"/>
  <c r="H1117" i="3" s="1"/>
  <c r="G1116" i="3"/>
  <c r="H1116" i="3" s="1"/>
  <c r="G1115" i="3"/>
  <c r="H1115" i="3" s="1"/>
  <c r="G1114" i="3"/>
  <c r="H1114" i="3" s="1"/>
  <c r="G1113" i="3"/>
  <c r="H1113" i="3" s="1"/>
  <c r="G1112" i="3"/>
  <c r="H1112" i="3" s="1"/>
  <c r="G1111" i="3"/>
  <c r="H1111" i="3" s="1"/>
  <c r="G1110" i="3"/>
  <c r="H1110" i="3" s="1"/>
  <c r="G1109" i="3"/>
  <c r="H1109" i="3" s="1"/>
  <c r="G1108" i="3"/>
  <c r="H1108" i="3" s="1"/>
  <c r="G1107" i="3"/>
  <c r="H1107" i="3" s="1"/>
  <c r="G1106" i="3"/>
  <c r="H1106" i="3" s="1"/>
  <c r="G1105" i="3"/>
  <c r="H1105" i="3" s="1"/>
  <c r="G1104" i="3"/>
  <c r="H1104" i="3" s="1"/>
  <c r="G1103" i="3"/>
  <c r="H1103" i="3" s="1"/>
  <c r="G1102" i="3"/>
  <c r="H1102" i="3" s="1"/>
  <c r="G1101" i="3"/>
  <c r="H1101" i="3" s="1"/>
  <c r="G1100" i="3"/>
  <c r="H1100" i="3" s="1"/>
  <c r="G1099" i="3"/>
  <c r="H1099" i="3" s="1"/>
  <c r="G1098" i="3"/>
  <c r="H1098" i="3" s="1"/>
  <c r="G1097" i="3"/>
  <c r="H1097" i="3" s="1"/>
  <c r="G1096" i="3"/>
  <c r="H1096" i="3" s="1"/>
  <c r="G1095" i="3"/>
  <c r="H1095" i="3" s="1"/>
  <c r="G1094" i="3"/>
  <c r="H1094" i="3" s="1"/>
  <c r="G1093" i="3"/>
  <c r="H1093" i="3" s="1"/>
  <c r="G1092" i="3"/>
  <c r="H1092" i="3" s="1"/>
  <c r="G1091" i="3"/>
  <c r="H1091" i="3" s="1"/>
  <c r="G1090" i="3"/>
  <c r="H1090" i="3" s="1"/>
  <c r="G1089" i="3"/>
  <c r="H1089" i="3" s="1"/>
  <c r="G1088" i="3"/>
  <c r="H1088" i="3" s="1"/>
  <c r="G1087" i="3"/>
  <c r="H1087" i="3" s="1"/>
  <c r="G1086" i="3"/>
  <c r="H1086" i="3" s="1"/>
  <c r="G1085" i="3"/>
  <c r="H1085" i="3" s="1"/>
  <c r="G1084" i="3"/>
  <c r="H1084" i="3" s="1"/>
  <c r="G1083" i="3"/>
  <c r="H1083" i="3" s="1"/>
  <c r="G1082" i="3"/>
  <c r="H1082" i="3" s="1"/>
  <c r="G1081" i="3"/>
  <c r="H1081" i="3" s="1"/>
  <c r="G1080" i="3"/>
  <c r="H1080" i="3" s="1"/>
  <c r="G1079" i="3"/>
  <c r="H1079" i="3" s="1"/>
  <c r="G1078" i="3"/>
  <c r="H1078" i="3" s="1"/>
  <c r="G1077" i="3"/>
  <c r="H1077" i="3" s="1"/>
  <c r="G1076" i="3"/>
  <c r="H1076" i="3" s="1"/>
  <c r="G1075" i="3"/>
  <c r="H1075" i="3" s="1"/>
  <c r="G1074" i="3"/>
  <c r="H1074" i="3" s="1"/>
  <c r="G1073" i="3"/>
  <c r="H1073" i="3" s="1"/>
  <c r="G1072" i="3"/>
  <c r="H1072" i="3" s="1"/>
  <c r="G1071" i="3"/>
  <c r="H1071" i="3" s="1"/>
  <c r="G1070" i="3"/>
  <c r="H1070" i="3" s="1"/>
  <c r="G1069" i="3"/>
  <c r="H1069" i="3" s="1"/>
  <c r="G1068" i="3"/>
  <c r="H1068" i="3" s="1"/>
  <c r="G1067" i="3"/>
  <c r="H1067" i="3" s="1"/>
  <c r="G1066" i="3"/>
  <c r="H1066" i="3" s="1"/>
  <c r="G1065" i="3"/>
  <c r="H1065" i="3" s="1"/>
  <c r="G1064" i="3"/>
  <c r="H1064" i="3" s="1"/>
  <c r="G1063" i="3"/>
  <c r="H1063" i="3" s="1"/>
  <c r="G1062" i="3"/>
  <c r="H1062" i="3" s="1"/>
  <c r="G1061" i="3"/>
  <c r="H1061" i="3" s="1"/>
  <c r="G1060" i="3"/>
  <c r="H1060" i="3" s="1"/>
  <c r="G1059" i="3"/>
  <c r="H1059" i="3" s="1"/>
  <c r="G1058" i="3"/>
  <c r="H1058" i="3" s="1"/>
  <c r="G1057" i="3"/>
  <c r="H1057" i="3" s="1"/>
  <c r="G1056" i="3"/>
  <c r="H1056" i="3" s="1"/>
  <c r="G1055" i="3"/>
  <c r="H1055" i="3" s="1"/>
  <c r="G1054" i="3"/>
  <c r="H1054" i="3" s="1"/>
  <c r="G1053" i="3"/>
  <c r="H1053" i="3" s="1"/>
  <c r="G1052" i="3"/>
  <c r="H1052" i="3" s="1"/>
  <c r="G1051" i="3"/>
  <c r="H1051" i="3" s="1"/>
  <c r="G1050" i="3"/>
  <c r="H1050" i="3" s="1"/>
  <c r="G1049" i="3"/>
  <c r="H1049" i="3" s="1"/>
  <c r="G1048" i="3"/>
  <c r="H1048" i="3" s="1"/>
  <c r="G1047" i="3"/>
  <c r="H1047" i="3" s="1"/>
  <c r="G1046" i="3"/>
  <c r="H1046" i="3" s="1"/>
  <c r="G1045" i="3"/>
  <c r="H1045" i="3" s="1"/>
  <c r="G1044" i="3"/>
  <c r="H1044" i="3" s="1"/>
  <c r="G1043" i="3"/>
  <c r="H1043" i="3" s="1"/>
  <c r="G1042" i="3"/>
  <c r="H1042" i="3" s="1"/>
  <c r="G1041" i="3"/>
  <c r="H1041" i="3" s="1"/>
  <c r="G1040" i="3"/>
  <c r="H1040" i="3" s="1"/>
  <c r="G1039" i="3"/>
  <c r="H1039" i="3" s="1"/>
  <c r="G1038" i="3"/>
  <c r="H1038" i="3" s="1"/>
  <c r="G1037" i="3"/>
  <c r="H1037" i="3" s="1"/>
  <c r="G1036" i="3"/>
  <c r="H1036" i="3" s="1"/>
  <c r="G1035" i="3"/>
  <c r="H1035" i="3" s="1"/>
  <c r="G1034" i="3"/>
  <c r="H1034" i="3" s="1"/>
  <c r="G1033" i="3"/>
  <c r="H1033" i="3" s="1"/>
  <c r="G1032" i="3"/>
  <c r="H1032" i="3" s="1"/>
  <c r="G1031" i="3"/>
  <c r="H1031" i="3" s="1"/>
  <c r="G1030" i="3"/>
  <c r="H1030" i="3" s="1"/>
  <c r="G1029" i="3"/>
  <c r="H1029" i="3" s="1"/>
  <c r="G1028" i="3"/>
  <c r="H1028" i="3" s="1"/>
  <c r="G1027" i="3"/>
  <c r="H1027" i="3" s="1"/>
  <c r="G1026" i="3"/>
  <c r="H1026" i="3" s="1"/>
  <c r="G1025" i="3"/>
  <c r="H1025" i="3" s="1"/>
  <c r="G1024" i="3"/>
  <c r="H1024" i="3" s="1"/>
  <c r="G1023" i="3"/>
  <c r="H1023" i="3" s="1"/>
  <c r="G1022" i="3"/>
  <c r="H1022" i="3" s="1"/>
  <c r="G1021" i="3"/>
  <c r="H1021" i="3" s="1"/>
  <c r="G1020" i="3"/>
  <c r="H1020" i="3" s="1"/>
  <c r="G1019" i="3"/>
  <c r="H1019" i="3" s="1"/>
  <c r="G1018" i="3"/>
  <c r="H1018" i="3" s="1"/>
  <c r="G1017" i="3"/>
  <c r="H1017" i="3" s="1"/>
  <c r="G1016" i="3"/>
  <c r="H1016" i="3" s="1"/>
  <c r="G1015" i="3"/>
  <c r="H1015" i="3" s="1"/>
  <c r="G1014" i="3"/>
  <c r="H1014" i="3" s="1"/>
  <c r="G1013" i="3"/>
  <c r="H1013" i="3" s="1"/>
  <c r="G1012" i="3"/>
  <c r="H1012" i="3" s="1"/>
  <c r="G1011" i="3"/>
  <c r="H1011" i="3" s="1"/>
  <c r="G1010" i="3"/>
  <c r="H1010" i="3" s="1"/>
  <c r="G1009" i="3"/>
  <c r="H1009" i="3" s="1"/>
  <c r="G1008" i="3"/>
  <c r="H1008" i="3" s="1"/>
  <c r="G1007" i="3"/>
  <c r="H1007" i="3" s="1"/>
  <c r="G1006" i="3"/>
  <c r="H1006" i="3" s="1"/>
  <c r="G1005" i="3"/>
  <c r="H1005" i="3" s="1"/>
  <c r="G1004" i="3"/>
  <c r="H1004" i="3" s="1"/>
  <c r="G1003" i="3"/>
  <c r="H1003" i="3" s="1"/>
  <c r="G1002" i="3"/>
  <c r="H1002" i="3" s="1"/>
  <c r="G1001" i="3"/>
  <c r="H1001" i="3" s="1"/>
  <c r="G1000" i="3"/>
  <c r="H1000" i="3" s="1"/>
  <c r="G999" i="3"/>
  <c r="H999" i="3" s="1"/>
  <c r="G998" i="3"/>
  <c r="H998" i="3" s="1"/>
  <c r="G997" i="3"/>
  <c r="H997" i="3" s="1"/>
  <c r="G996" i="3"/>
  <c r="H996" i="3" s="1"/>
  <c r="G995" i="3"/>
  <c r="H995" i="3" s="1"/>
  <c r="G994" i="3"/>
  <c r="H994" i="3" s="1"/>
  <c r="G993" i="3"/>
  <c r="H993" i="3" s="1"/>
  <c r="G992" i="3"/>
  <c r="H992" i="3" s="1"/>
  <c r="G991" i="3"/>
  <c r="H991" i="3" s="1"/>
  <c r="G990" i="3"/>
  <c r="H990" i="3" s="1"/>
  <c r="G989" i="3"/>
  <c r="H989" i="3" s="1"/>
  <c r="G988" i="3"/>
  <c r="H988" i="3" s="1"/>
  <c r="G987" i="3"/>
  <c r="H987" i="3" s="1"/>
  <c r="G986" i="3"/>
  <c r="H986" i="3" s="1"/>
  <c r="G985" i="3"/>
  <c r="H985" i="3" s="1"/>
  <c r="G984" i="3"/>
  <c r="H984" i="3" s="1"/>
  <c r="G983" i="3"/>
  <c r="H983" i="3" s="1"/>
  <c r="G982" i="3"/>
  <c r="H982" i="3" s="1"/>
  <c r="G981" i="3"/>
  <c r="H981" i="3" s="1"/>
  <c r="G980" i="3"/>
  <c r="H980" i="3" s="1"/>
  <c r="G979" i="3"/>
  <c r="H979" i="3" s="1"/>
  <c r="G978" i="3"/>
  <c r="H978" i="3" s="1"/>
  <c r="G977" i="3"/>
  <c r="H977" i="3" s="1"/>
  <c r="G976" i="3"/>
  <c r="H976" i="3" s="1"/>
  <c r="G975" i="3"/>
  <c r="H975" i="3" s="1"/>
  <c r="G974" i="3"/>
  <c r="H974" i="3" s="1"/>
  <c r="G973" i="3"/>
  <c r="H973" i="3" s="1"/>
  <c r="G972" i="3"/>
  <c r="H972" i="3" s="1"/>
  <c r="G971" i="3"/>
  <c r="H971" i="3" s="1"/>
  <c r="G970" i="3"/>
  <c r="H970" i="3" s="1"/>
  <c r="G969" i="3"/>
  <c r="H969" i="3" s="1"/>
  <c r="G968" i="3"/>
  <c r="H968" i="3" s="1"/>
  <c r="G967" i="3"/>
  <c r="H967" i="3" s="1"/>
  <c r="G966" i="3"/>
  <c r="H966" i="3" s="1"/>
  <c r="G965" i="3"/>
  <c r="H965" i="3" s="1"/>
  <c r="G964" i="3"/>
  <c r="H964" i="3" s="1"/>
  <c r="G963" i="3"/>
  <c r="H963" i="3" s="1"/>
  <c r="G962" i="3"/>
  <c r="H962" i="3" s="1"/>
  <c r="G961" i="3"/>
  <c r="H961" i="3" s="1"/>
  <c r="G960" i="3"/>
  <c r="H960" i="3" s="1"/>
  <c r="G959" i="3"/>
  <c r="H959" i="3" s="1"/>
  <c r="G958" i="3"/>
  <c r="H958" i="3" s="1"/>
  <c r="G957" i="3"/>
  <c r="H957" i="3" s="1"/>
  <c r="G956" i="3"/>
  <c r="H956" i="3" s="1"/>
  <c r="G955" i="3"/>
  <c r="H955" i="3" s="1"/>
  <c r="G954" i="3"/>
  <c r="H954" i="3" s="1"/>
  <c r="G953" i="3"/>
  <c r="H953" i="3" s="1"/>
  <c r="G952" i="3"/>
  <c r="H952" i="3" s="1"/>
  <c r="G951" i="3"/>
  <c r="H951" i="3" s="1"/>
  <c r="G950" i="3"/>
  <c r="H950" i="3" s="1"/>
  <c r="G949" i="3"/>
  <c r="H949" i="3" s="1"/>
  <c r="G948" i="3"/>
  <c r="H948" i="3" s="1"/>
  <c r="G947" i="3"/>
  <c r="H947" i="3" s="1"/>
  <c r="G946" i="3"/>
  <c r="H946" i="3" s="1"/>
  <c r="G945" i="3"/>
  <c r="H945" i="3" s="1"/>
  <c r="G944" i="3"/>
  <c r="H944" i="3" s="1"/>
  <c r="G943" i="3"/>
  <c r="H943" i="3" s="1"/>
  <c r="G942" i="3"/>
  <c r="H942" i="3" s="1"/>
  <c r="G941" i="3"/>
  <c r="H941" i="3" s="1"/>
  <c r="G940" i="3"/>
  <c r="H940" i="3" s="1"/>
  <c r="G939" i="3"/>
  <c r="H939" i="3" s="1"/>
  <c r="G938" i="3"/>
  <c r="H938" i="3" s="1"/>
  <c r="G937" i="3"/>
  <c r="H937" i="3" s="1"/>
  <c r="G936" i="3"/>
  <c r="H936" i="3" s="1"/>
  <c r="G935" i="3"/>
  <c r="H935" i="3" s="1"/>
  <c r="G934" i="3"/>
  <c r="H934" i="3" s="1"/>
  <c r="G933" i="3"/>
  <c r="H933" i="3" s="1"/>
  <c r="G932" i="3"/>
  <c r="H932" i="3" s="1"/>
  <c r="G931" i="3"/>
  <c r="H931" i="3" s="1"/>
  <c r="G930" i="3"/>
  <c r="H930" i="3" s="1"/>
  <c r="G929" i="3"/>
  <c r="H929" i="3" s="1"/>
  <c r="G928" i="3"/>
  <c r="H928" i="3" s="1"/>
  <c r="G927" i="3"/>
  <c r="H927" i="3" s="1"/>
  <c r="G926" i="3"/>
  <c r="H926" i="3" s="1"/>
  <c r="G925" i="3"/>
  <c r="H925" i="3" s="1"/>
  <c r="G924" i="3"/>
  <c r="H924" i="3" s="1"/>
  <c r="G923" i="3"/>
  <c r="H923" i="3" s="1"/>
  <c r="G922" i="3"/>
  <c r="H922" i="3" s="1"/>
  <c r="G921" i="3"/>
  <c r="H921" i="3" s="1"/>
  <c r="G920" i="3"/>
  <c r="H920" i="3" s="1"/>
  <c r="G919" i="3"/>
  <c r="H919" i="3" s="1"/>
  <c r="G918" i="3"/>
  <c r="H918" i="3" s="1"/>
  <c r="G917" i="3"/>
  <c r="H917" i="3" s="1"/>
  <c r="G916" i="3"/>
  <c r="H916" i="3" s="1"/>
  <c r="G915" i="3"/>
  <c r="H915" i="3" s="1"/>
  <c r="G914" i="3"/>
  <c r="H914" i="3" s="1"/>
  <c r="G913" i="3"/>
  <c r="H913" i="3" s="1"/>
  <c r="G912" i="3"/>
  <c r="H912" i="3" s="1"/>
  <c r="G911" i="3"/>
  <c r="H911" i="3" s="1"/>
  <c r="G910" i="3"/>
  <c r="H910" i="3" s="1"/>
  <c r="G909" i="3"/>
  <c r="H909" i="3" s="1"/>
  <c r="G908" i="3"/>
  <c r="H908" i="3" s="1"/>
  <c r="G907" i="3"/>
  <c r="H907" i="3" s="1"/>
  <c r="G906" i="3"/>
  <c r="H906" i="3" s="1"/>
  <c r="G905" i="3"/>
  <c r="H905" i="3" s="1"/>
  <c r="G904" i="3"/>
  <c r="H904" i="3" s="1"/>
  <c r="G903" i="3"/>
  <c r="H903" i="3" s="1"/>
  <c r="G902" i="3"/>
  <c r="H902" i="3" s="1"/>
  <c r="G901" i="3"/>
  <c r="H901" i="3" s="1"/>
  <c r="G900" i="3"/>
  <c r="H900" i="3" s="1"/>
  <c r="G899" i="3"/>
  <c r="H899" i="3" s="1"/>
  <c r="G898" i="3"/>
  <c r="H898" i="3" s="1"/>
  <c r="G897" i="3"/>
  <c r="H897" i="3" s="1"/>
  <c r="G896" i="3"/>
  <c r="H896" i="3" s="1"/>
  <c r="G895" i="3"/>
  <c r="H895" i="3" s="1"/>
  <c r="G894" i="3"/>
  <c r="H894" i="3" s="1"/>
  <c r="G893" i="3"/>
  <c r="H893" i="3" s="1"/>
  <c r="G892" i="3"/>
  <c r="H892" i="3" s="1"/>
  <c r="G891" i="3"/>
  <c r="H891" i="3" s="1"/>
  <c r="G890" i="3"/>
  <c r="H890" i="3" s="1"/>
  <c r="G889" i="3"/>
  <c r="H889" i="3" s="1"/>
  <c r="G888" i="3"/>
  <c r="H888" i="3" s="1"/>
  <c r="G887" i="3"/>
  <c r="H887" i="3" s="1"/>
  <c r="G886" i="3"/>
  <c r="H886" i="3" s="1"/>
  <c r="G885" i="3"/>
  <c r="H885" i="3" s="1"/>
  <c r="G884" i="3"/>
  <c r="H884" i="3" s="1"/>
  <c r="G883" i="3"/>
  <c r="H883" i="3" s="1"/>
  <c r="G882" i="3"/>
  <c r="H882" i="3" s="1"/>
  <c r="G881" i="3"/>
  <c r="H881" i="3" s="1"/>
  <c r="G880" i="3"/>
  <c r="H880" i="3" s="1"/>
  <c r="G879" i="3"/>
  <c r="H879" i="3" s="1"/>
  <c r="G878" i="3"/>
  <c r="H878" i="3" s="1"/>
  <c r="G877" i="3"/>
  <c r="H877" i="3" s="1"/>
  <c r="G876" i="3"/>
  <c r="H876" i="3" s="1"/>
  <c r="G875" i="3"/>
  <c r="H875" i="3" s="1"/>
  <c r="G874" i="3"/>
  <c r="H874" i="3" s="1"/>
  <c r="G873" i="3"/>
  <c r="H873" i="3" s="1"/>
  <c r="G872" i="3"/>
  <c r="H872" i="3" s="1"/>
  <c r="G871" i="3"/>
  <c r="H871" i="3" s="1"/>
  <c r="G870" i="3"/>
  <c r="H870" i="3" s="1"/>
  <c r="G869" i="3"/>
  <c r="H869" i="3" s="1"/>
  <c r="G868" i="3"/>
  <c r="H868" i="3" s="1"/>
  <c r="G867" i="3"/>
  <c r="H867" i="3" s="1"/>
  <c r="G866" i="3"/>
  <c r="H866" i="3" s="1"/>
  <c r="G865" i="3"/>
  <c r="H865" i="3" s="1"/>
  <c r="G864" i="3"/>
  <c r="H864" i="3" s="1"/>
  <c r="G863" i="3"/>
  <c r="H863" i="3" s="1"/>
  <c r="G862" i="3"/>
  <c r="H862" i="3" s="1"/>
  <c r="G861" i="3"/>
  <c r="H861" i="3" s="1"/>
  <c r="G860" i="3"/>
  <c r="H860" i="3" s="1"/>
  <c r="G859" i="3"/>
  <c r="H859" i="3" s="1"/>
  <c r="G858" i="3"/>
  <c r="H858" i="3" s="1"/>
  <c r="G857" i="3"/>
  <c r="H857" i="3" s="1"/>
  <c r="G856" i="3"/>
  <c r="H856" i="3" s="1"/>
  <c r="G855" i="3"/>
  <c r="H855" i="3" s="1"/>
  <c r="G854" i="3"/>
  <c r="H854" i="3" s="1"/>
  <c r="G853" i="3"/>
  <c r="H853" i="3" s="1"/>
  <c r="G852" i="3"/>
  <c r="H852" i="3" s="1"/>
  <c r="G851" i="3"/>
  <c r="H851" i="3" s="1"/>
  <c r="G850" i="3"/>
  <c r="H850" i="3" s="1"/>
  <c r="G849" i="3"/>
  <c r="H849" i="3" s="1"/>
  <c r="G848" i="3"/>
  <c r="H848" i="3" s="1"/>
  <c r="G847" i="3"/>
  <c r="H847" i="3" s="1"/>
  <c r="G846" i="3"/>
  <c r="H846" i="3" s="1"/>
  <c r="G845" i="3"/>
  <c r="H845" i="3" s="1"/>
  <c r="G844" i="3"/>
  <c r="H844" i="3" s="1"/>
  <c r="G843" i="3"/>
  <c r="H843" i="3" s="1"/>
  <c r="G842" i="3"/>
  <c r="H842" i="3" s="1"/>
  <c r="G841" i="3"/>
  <c r="H841" i="3" s="1"/>
  <c r="G840" i="3"/>
  <c r="H840" i="3" s="1"/>
  <c r="G839" i="3"/>
  <c r="H839" i="3" s="1"/>
  <c r="G838" i="3"/>
  <c r="H838" i="3" s="1"/>
  <c r="G837" i="3"/>
  <c r="H837" i="3" s="1"/>
  <c r="G836" i="3"/>
  <c r="H836" i="3" s="1"/>
  <c r="G835" i="3"/>
  <c r="H835" i="3" s="1"/>
  <c r="G834" i="3"/>
  <c r="H834" i="3" s="1"/>
  <c r="G833" i="3"/>
  <c r="H833" i="3" s="1"/>
  <c r="G832" i="3"/>
  <c r="H832" i="3" s="1"/>
  <c r="G831" i="3"/>
  <c r="H831" i="3" s="1"/>
  <c r="G830" i="3"/>
  <c r="H830" i="3" s="1"/>
  <c r="G829" i="3"/>
  <c r="H829" i="3" s="1"/>
  <c r="G828" i="3"/>
  <c r="H828" i="3" s="1"/>
  <c r="G827" i="3"/>
  <c r="H827" i="3" s="1"/>
  <c r="G826" i="3"/>
  <c r="H826" i="3" s="1"/>
  <c r="G825" i="3"/>
  <c r="H825" i="3" s="1"/>
  <c r="G824" i="3"/>
  <c r="H824" i="3" s="1"/>
  <c r="G823" i="3"/>
  <c r="H823" i="3" s="1"/>
  <c r="G822" i="3"/>
  <c r="H822" i="3" s="1"/>
  <c r="G821" i="3"/>
  <c r="H821" i="3" s="1"/>
  <c r="G820" i="3"/>
  <c r="H820" i="3" s="1"/>
  <c r="G819" i="3"/>
  <c r="H819" i="3" s="1"/>
  <c r="G818" i="3"/>
  <c r="H818" i="3" s="1"/>
  <c r="G817" i="3"/>
  <c r="H817" i="3" s="1"/>
  <c r="G816" i="3"/>
  <c r="H816" i="3" s="1"/>
  <c r="G815" i="3"/>
  <c r="H815" i="3" s="1"/>
  <c r="G814" i="3"/>
  <c r="H814" i="3" s="1"/>
  <c r="G813" i="3"/>
  <c r="H813" i="3" s="1"/>
  <c r="G812" i="3"/>
  <c r="H812" i="3" s="1"/>
  <c r="G811" i="3"/>
  <c r="H811" i="3" s="1"/>
  <c r="G810" i="3"/>
  <c r="H810" i="3" s="1"/>
  <c r="G809" i="3"/>
  <c r="H809" i="3" s="1"/>
  <c r="G808" i="3"/>
  <c r="H808" i="3" s="1"/>
  <c r="G807" i="3"/>
  <c r="H807" i="3" s="1"/>
  <c r="G806" i="3"/>
  <c r="H806" i="3" s="1"/>
  <c r="G805" i="3"/>
  <c r="H805" i="3" s="1"/>
  <c r="G804" i="3"/>
  <c r="H804" i="3" s="1"/>
  <c r="G803" i="3"/>
  <c r="H803" i="3" s="1"/>
  <c r="G802" i="3"/>
  <c r="H802" i="3" s="1"/>
  <c r="G801" i="3"/>
  <c r="H801" i="3" s="1"/>
  <c r="G800" i="3"/>
  <c r="H800" i="3" s="1"/>
  <c r="G799" i="3"/>
  <c r="H799" i="3" s="1"/>
  <c r="G798" i="3"/>
  <c r="H798" i="3" s="1"/>
  <c r="G797" i="3"/>
  <c r="H797" i="3" s="1"/>
  <c r="G796" i="3"/>
  <c r="H796" i="3" s="1"/>
  <c r="G795" i="3"/>
  <c r="H795" i="3" s="1"/>
  <c r="G794" i="3"/>
  <c r="H794" i="3" s="1"/>
  <c r="G793" i="3"/>
  <c r="H793" i="3" s="1"/>
  <c r="G792" i="3"/>
  <c r="H792" i="3" s="1"/>
  <c r="G791" i="3"/>
  <c r="H791" i="3" s="1"/>
  <c r="G790" i="3"/>
  <c r="H790" i="3" s="1"/>
  <c r="G789" i="3"/>
  <c r="H789" i="3" s="1"/>
  <c r="G788" i="3"/>
  <c r="H788" i="3" s="1"/>
  <c r="G787" i="3"/>
  <c r="H787" i="3" s="1"/>
  <c r="G786" i="3"/>
  <c r="H786" i="3" s="1"/>
  <c r="G785" i="3"/>
  <c r="H785" i="3" s="1"/>
  <c r="G784" i="3"/>
  <c r="H784" i="3" s="1"/>
  <c r="G783" i="3"/>
  <c r="H783" i="3" s="1"/>
  <c r="G782" i="3"/>
  <c r="H782" i="3" s="1"/>
  <c r="G781" i="3"/>
  <c r="H781" i="3" s="1"/>
  <c r="G780" i="3"/>
  <c r="H780" i="3" s="1"/>
  <c r="G779" i="3"/>
  <c r="H779" i="3" s="1"/>
  <c r="G778" i="3"/>
  <c r="H778" i="3" s="1"/>
  <c r="G777" i="3"/>
  <c r="H777" i="3" s="1"/>
  <c r="G776" i="3"/>
  <c r="H776" i="3" s="1"/>
  <c r="G775" i="3"/>
  <c r="H775" i="3" s="1"/>
  <c r="G774" i="3"/>
  <c r="H774" i="3" s="1"/>
  <c r="G773" i="3"/>
  <c r="H773" i="3" s="1"/>
  <c r="G772" i="3"/>
  <c r="H772" i="3" s="1"/>
  <c r="G771" i="3"/>
  <c r="H771" i="3" s="1"/>
  <c r="G770" i="3"/>
  <c r="H770" i="3" s="1"/>
  <c r="G769" i="3"/>
  <c r="H769" i="3" s="1"/>
  <c r="G768" i="3"/>
  <c r="H768" i="3" s="1"/>
  <c r="G767" i="3"/>
  <c r="H767" i="3" s="1"/>
  <c r="G766" i="3"/>
  <c r="H766" i="3" s="1"/>
  <c r="G765" i="3"/>
  <c r="H765" i="3" s="1"/>
  <c r="G764" i="3"/>
  <c r="H764" i="3" s="1"/>
  <c r="G763" i="3"/>
  <c r="H763" i="3" s="1"/>
  <c r="G762" i="3"/>
  <c r="H762" i="3" s="1"/>
  <c r="G761" i="3"/>
  <c r="H761" i="3" s="1"/>
  <c r="G760" i="3"/>
  <c r="H760" i="3" s="1"/>
  <c r="G759" i="3"/>
  <c r="H759" i="3" s="1"/>
  <c r="G758" i="3"/>
  <c r="H758" i="3" s="1"/>
  <c r="G757" i="3"/>
  <c r="H757" i="3" s="1"/>
  <c r="G756" i="3"/>
  <c r="H756" i="3" s="1"/>
  <c r="G755" i="3"/>
  <c r="H755" i="3" s="1"/>
  <c r="G754" i="3"/>
  <c r="H754" i="3" s="1"/>
  <c r="G753" i="3"/>
  <c r="H753" i="3" s="1"/>
  <c r="G752" i="3"/>
  <c r="H752" i="3" s="1"/>
  <c r="G751" i="3"/>
  <c r="H751" i="3" s="1"/>
  <c r="G750" i="3"/>
  <c r="H750" i="3" s="1"/>
  <c r="G749" i="3"/>
  <c r="H749" i="3" s="1"/>
  <c r="G748" i="3"/>
  <c r="H748" i="3" s="1"/>
  <c r="G747" i="3"/>
  <c r="H747" i="3" s="1"/>
  <c r="G746" i="3"/>
  <c r="H746" i="3" s="1"/>
  <c r="G745" i="3"/>
  <c r="H745" i="3" s="1"/>
  <c r="G744" i="3"/>
  <c r="H744" i="3" s="1"/>
  <c r="G743" i="3"/>
  <c r="H743" i="3" s="1"/>
  <c r="G742" i="3"/>
  <c r="H742" i="3" s="1"/>
  <c r="G741" i="3"/>
  <c r="H741" i="3" s="1"/>
  <c r="G740" i="3"/>
  <c r="H740" i="3" s="1"/>
  <c r="G739" i="3"/>
  <c r="H739" i="3" s="1"/>
  <c r="G738" i="3"/>
  <c r="H738" i="3" s="1"/>
  <c r="G737" i="3"/>
  <c r="H737" i="3" s="1"/>
  <c r="G736" i="3"/>
  <c r="H736" i="3" s="1"/>
  <c r="G735" i="3"/>
  <c r="H735" i="3" s="1"/>
  <c r="G734" i="3"/>
  <c r="H734" i="3" s="1"/>
  <c r="G733" i="3"/>
  <c r="H733" i="3" s="1"/>
  <c r="G732" i="3"/>
  <c r="H732" i="3" s="1"/>
  <c r="G731" i="3"/>
  <c r="H731" i="3" s="1"/>
  <c r="G730" i="3"/>
  <c r="H730" i="3" s="1"/>
  <c r="G729" i="3"/>
  <c r="H729" i="3" s="1"/>
  <c r="G728" i="3"/>
  <c r="H728" i="3" s="1"/>
  <c r="G727" i="3"/>
  <c r="H727" i="3" s="1"/>
  <c r="G726" i="3"/>
  <c r="H726" i="3" s="1"/>
  <c r="G725" i="3"/>
  <c r="H725" i="3" s="1"/>
  <c r="G724" i="3"/>
  <c r="H724" i="3" s="1"/>
  <c r="G723" i="3"/>
  <c r="H723" i="3" s="1"/>
  <c r="G722" i="3"/>
  <c r="H722" i="3" s="1"/>
  <c r="G721" i="3"/>
  <c r="H721" i="3" s="1"/>
  <c r="G720" i="3"/>
  <c r="H720" i="3" s="1"/>
  <c r="G719" i="3"/>
  <c r="H719" i="3" s="1"/>
  <c r="G718" i="3"/>
  <c r="H718" i="3" s="1"/>
  <c r="G717" i="3"/>
  <c r="H717" i="3" s="1"/>
  <c r="G716" i="3"/>
  <c r="H716" i="3" s="1"/>
  <c r="G715" i="3"/>
  <c r="H715" i="3" s="1"/>
  <c r="G714" i="3"/>
  <c r="H714" i="3" s="1"/>
  <c r="G713" i="3"/>
  <c r="H713" i="3" s="1"/>
  <c r="G712" i="3"/>
  <c r="H712" i="3" s="1"/>
  <c r="G711" i="3"/>
  <c r="H711" i="3" s="1"/>
  <c r="G710" i="3"/>
  <c r="H710" i="3" s="1"/>
  <c r="G709" i="3"/>
  <c r="H709" i="3" s="1"/>
  <c r="G708" i="3"/>
  <c r="H708" i="3" s="1"/>
  <c r="G707" i="3"/>
  <c r="H707" i="3" s="1"/>
  <c r="G706" i="3"/>
  <c r="H706" i="3" s="1"/>
  <c r="G705" i="3"/>
  <c r="H705" i="3" s="1"/>
  <c r="G704" i="3"/>
  <c r="H704" i="3" s="1"/>
  <c r="G703" i="3"/>
  <c r="H703" i="3" s="1"/>
  <c r="G702" i="3"/>
  <c r="H702" i="3" s="1"/>
  <c r="G701" i="3"/>
  <c r="H701" i="3" s="1"/>
  <c r="G700" i="3"/>
  <c r="H700" i="3" s="1"/>
  <c r="G699" i="3"/>
  <c r="H699" i="3" s="1"/>
  <c r="G698" i="3"/>
  <c r="H698" i="3" s="1"/>
  <c r="G697" i="3"/>
  <c r="H697" i="3" s="1"/>
  <c r="G696" i="3"/>
  <c r="H696" i="3" s="1"/>
  <c r="G695" i="3"/>
  <c r="H695" i="3" s="1"/>
  <c r="G694" i="3"/>
  <c r="H694" i="3" s="1"/>
  <c r="G693" i="3"/>
  <c r="H693" i="3" s="1"/>
  <c r="G692" i="3"/>
  <c r="H692" i="3" s="1"/>
  <c r="G691" i="3"/>
  <c r="H691" i="3" s="1"/>
  <c r="G690" i="3"/>
  <c r="H690" i="3" s="1"/>
  <c r="G689" i="3"/>
  <c r="H689" i="3" s="1"/>
  <c r="G688" i="3"/>
  <c r="H688" i="3" s="1"/>
  <c r="G687" i="3"/>
  <c r="H687" i="3" s="1"/>
  <c r="G686" i="3"/>
  <c r="H686" i="3" s="1"/>
  <c r="G685" i="3"/>
  <c r="H685" i="3" s="1"/>
  <c r="G684" i="3"/>
  <c r="H684" i="3" s="1"/>
  <c r="G683" i="3"/>
  <c r="H683" i="3" s="1"/>
  <c r="G682" i="3"/>
  <c r="H682" i="3" s="1"/>
  <c r="G681" i="3"/>
  <c r="H681" i="3" s="1"/>
  <c r="G680" i="3"/>
  <c r="H680" i="3" s="1"/>
  <c r="G679" i="3"/>
  <c r="H679" i="3" s="1"/>
  <c r="G678" i="3"/>
  <c r="H678" i="3" s="1"/>
  <c r="G677" i="3"/>
  <c r="H677" i="3" s="1"/>
  <c r="G676" i="3"/>
  <c r="H676" i="3" s="1"/>
  <c r="G675" i="3"/>
  <c r="H675" i="3" s="1"/>
  <c r="G674" i="3"/>
  <c r="H674" i="3" s="1"/>
  <c r="G673" i="3"/>
  <c r="H673" i="3" s="1"/>
  <c r="G672" i="3"/>
  <c r="H672" i="3" s="1"/>
  <c r="G671" i="3"/>
  <c r="H671" i="3" s="1"/>
  <c r="G670" i="3"/>
  <c r="H670" i="3" s="1"/>
  <c r="G669" i="3"/>
  <c r="H669" i="3" s="1"/>
  <c r="G668" i="3"/>
  <c r="H668" i="3" s="1"/>
  <c r="G667" i="3"/>
  <c r="H667" i="3" s="1"/>
  <c r="G666" i="3"/>
  <c r="H666" i="3" s="1"/>
  <c r="G665" i="3"/>
  <c r="H665" i="3" s="1"/>
  <c r="G664" i="3"/>
  <c r="H664" i="3" s="1"/>
  <c r="G663" i="3"/>
  <c r="H663" i="3" s="1"/>
  <c r="G662" i="3"/>
  <c r="H662" i="3" s="1"/>
  <c r="G661" i="3"/>
  <c r="H661" i="3" s="1"/>
  <c r="G660" i="3"/>
  <c r="H660" i="3" s="1"/>
  <c r="G659" i="3"/>
  <c r="H659" i="3" s="1"/>
  <c r="G658" i="3"/>
  <c r="H658" i="3" s="1"/>
  <c r="G657" i="3"/>
  <c r="H657" i="3" s="1"/>
  <c r="G656" i="3"/>
  <c r="H656" i="3" s="1"/>
  <c r="G655" i="3"/>
  <c r="H655" i="3" s="1"/>
  <c r="G654" i="3"/>
  <c r="H654" i="3" s="1"/>
  <c r="G653" i="3"/>
  <c r="H653" i="3" s="1"/>
  <c r="G652" i="3"/>
  <c r="H652" i="3" s="1"/>
  <c r="G651" i="3"/>
  <c r="H651" i="3" s="1"/>
  <c r="G650" i="3"/>
  <c r="H650" i="3" s="1"/>
  <c r="G649" i="3"/>
  <c r="H649" i="3" s="1"/>
  <c r="G648" i="3"/>
  <c r="H648" i="3" s="1"/>
  <c r="G647" i="3"/>
  <c r="H647" i="3" s="1"/>
  <c r="G646" i="3"/>
  <c r="H646" i="3" s="1"/>
  <c r="G645" i="3"/>
  <c r="H645" i="3" s="1"/>
  <c r="G644" i="3"/>
  <c r="H644" i="3" s="1"/>
  <c r="G643" i="3"/>
  <c r="H643" i="3" s="1"/>
  <c r="G642" i="3"/>
  <c r="H642" i="3" s="1"/>
  <c r="G641" i="3"/>
  <c r="H641" i="3" s="1"/>
  <c r="G640" i="3"/>
  <c r="H640" i="3" s="1"/>
  <c r="G639" i="3"/>
  <c r="H639" i="3" s="1"/>
  <c r="G638" i="3"/>
  <c r="H638" i="3" s="1"/>
  <c r="G637" i="3"/>
  <c r="H637" i="3" s="1"/>
  <c r="G636" i="3"/>
  <c r="H636" i="3" s="1"/>
  <c r="G635" i="3"/>
  <c r="H635" i="3" s="1"/>
  <c r="G634" i="3"/>
  <c r="H634" i="3" s="1"/>
  <c r="G633" i="3"/>
  <c r="H633" i="3" s="1"/>
  <c r="G632" i="3"/>
  <c r="H632" i="3" s="1"/>
  <c r="G631" i="3"/>
  <c r="H631" i="3" s="1"/>
  <c r="G630" i="3"/>
  <c r="H630" i="3" s="1"/>
  <c r="G629" i="3"/>
  <c r="H629" i="3" s="1"/>
  <c r="G628" i="3"/>
  <c r="H628" i="3" s="1"/>
  <c r="G627" i="3"/>
  <c r="H627" i="3" s="1"/>
  <c r="G626" i="3"/>
  <c r="H626" i="3" s="1"/>
  <c r="G625" i="3"/>
  <c r="H625" i="3" s="1"/>
  <c r="G624" i="3"/>
  <c r="H624" i="3" s="1"/>
  <c r="G623" i="3"/>
  <c r="H623" i="3" s="1"/>
  <c r="G622" i="3"/>
  <c r="H622" i="3" s="1"/>
  <c r="G621" i="3"/>
  <c r="H621" i="3" s="1"/>
  <c r="G620" i="3"/>
  <c r="H620" i="3" s="1"/>
  <c r="G619" i="3"/>
  <c r="H619" i="3" s="1"/>
  <c r="G618" i="3"/>
  <c r="H618" i="3" s="1"/>
  <c r="G617" i="3"/>
  <c r="H617" i="3" s="1"/>
  <c r="G616" i="3"/>
  <c r="H616" i="3" s="1"/>
  <c r="G615" i="3"/>
  <c r="H615" i="3" s="1"/>
  <c r="G614" i="3"/>
  <c r="H614" i="3" s="1"/>
  <c r="G613" i="3"/>
  <c r="H613" i="3" s="1"/>
  <c r="G612" i="3"/>
  <c r="H612" i="3" s="1"/>
  <c r="G611" i="3"/>
  <c r="H611" i="3" s="1"/>
  <c r="G610" i="3"/>
  <c r="H610" i="3" s="1"/>
  <c r="G609" i="3"/>
  <c r="H609" i="3" s="1"/>
  <c r="G608" i="3"/>
  <c r="H608" i="3" s="1"/>
  <c r="G607" i="3"/>
  <c r="H607" i="3" s="1"/>
  <c r="G606" i="3"/>
  <c r="H606" i="3" s="1"/>
  <c r="G605" i="3"/>
  <c r="H605" i="3" s="1"/>
  <c r="G604" i="3"/>
  <c r="H604" i="3" s="1"/>
  <c r="G603" i="3"/>
  <c r="H603" i="3" s="1"/>
  <c r="G602" i="3"/>
  <c r="H602" i="3" s="1"/>
  <c r="G601" i="3"/>
  <c r="H601" i="3" s="1"/>
  <c r="G600" i="3"/>
  <c r="H600" i="3" s="1"/>
  <c r="G599" i="3"/>
  <c r="H599" i="3" s="1"/>
  <c r="G598" i="3"/>
  <c r="H598" i="3" s="1"/>
  <c r="G597" i="3"/>
  <c r="H597" i="3" s="1"/>
  <c r="G596" i="3"/>
  <c r="H596" i="3" s="1"/>
  <c r="G595" i="3"/>
  <c r="H595" i="3" s="1"/>
  <c r="G594" i="3"/>
  <c r="H594" i="3" s="1"/>
  <c r="G593" i="3"/>
  <c r="H593" i="3" s="1"/>
  <c r="G592" i="3"/>
  <c r="H592" i="3" s="1"/>
  <c r="G591" i="3"/>
  <c r="H591" i="3" s="1"/>
  <c r="G590" i="3"/>
  <c r="H590" i="3" s="1"/>
  <c r="G589" i="3"/>
  <c r="H589" i="3" s="1"/>
  <c r="G588" i="3"/>
  <c r="H588" i="3" s="1"/>
  <c r="G587" i="3"/>
  <c r="H587" i="3" s="1"/>
  <c r="G586" i="3"/>
  <c r="H586" i="3" s="1"/>
  <c r="G585" i="3"/>
  <c r="H585" i="3" s="1"/>
  <c r="G584" i="3"/>
  <c r="H584" i="3" s="1"/>
  <c r="G583" i="3"/>
  <c r="H583" i="3" s="1"/>
  <c r="G582" i="3"/>
  <c r="H582" i="3" s="1"/>
  <c r="G581" i="3"/>
  <c r="H581" i="3" s="1"/>
  <c r="G580" i="3"/>
  <c r="H580" i="3" s="1"/>
  <c r="G579" i="3"/>
  <c r="H579" i="3" s="1"/>
  <c r="G578" i="3"/>
  <c r="H578" i="3" s="1"/>
  <c r="G577" i="3"/>
  <c r="H577" i="3" s="1"/>
  <c r="G576" i="3"/>
  <c r="H576" i="3" s="1"/>
  <c r="G575" i="3"/>
  <c r="H575" i="3" s="1"/>
  <c r="G574" i="3"/>
  <c r="H574" i="3" s="1"/>
  <c r="G573" i="3"/>
  <c r="H573" i="3" s="1"/>
  <c r="G572" i="3"/>
  <c r="H572" i="3" s="1"/>
  <c r="G571" i="3"/>
  <c r="H571" i="3" s="1"/>
  <c r="G570" i="3"/>
  <c r="H570" i="3" s="1"/>
  <c r="G569" i="3"/>
  <c r="H569" i="3" s="1"/>
  <c r="G568" i="3"/>
  <c r="H568" i="3" s="1"/>
  <c r="G567" i="3"/>
  <c r="H567" i="3" s="1"/>
  <c r="G566" i="3"/>
  <c r="H566" i="3" s="1"/>
  <c r="G565" i="3"/>
  <c r="H565" i="3" s="1"/>
  <c r="G564" i="3"/>
  <c r="H564" i="3" s="1"/>
  <c r="G563" i="3"/>
  <c r="H563" i="3" s="1"/>
  <c r="G562" i="3"/>
  <c r="H562" i="3" s="1"/>
  <c r="G561" i="3"/>
  <c r="H561" i="3" s="1"/>
  <c r="G560" i="3"/>
  <c r="H560" i="3" s="1"/>
  <c r="G559" i="3"/>
  <c r="H559" i="3" s="1"/>
  <c r="G558" i="3"/>
  <c r="H558" i="3" s="1"/>
  <c r="G557" i="3"/>
  <c r="H557" i="3" s="1"/>
  <c r="G556" i="3"/>
  <c r="H556" i="3" s="1"/>
  <c r="G555" i="3"/>
  <c r="H555" i="3" s="1"/>
  <c r="G554" i="3"/>
  <c r="H554" i="3" s="1"/>
  <c r="G553" i="3"/>
  <c r="H553" i="3" s="1"/>
  <c r="G552" i="3"/>
  <c r="H552" i="3" s="1"/>
  <c r="G551" i="3"/>
  <c r="H551" i="3" s="1"/>
  <c r="G550" i="3"/>
  <c r="H550" i="3" s="1"/>
  <c r="G549" i="3"/>
  <c r="H549" i="3" s="1"/>
  <c r="G548" i="3"/>
  <c r="H548" i="3" s="1"/>
  <c r="G547" i="3"/>
  <c r="H547" i="3" s="1"/>
  <c r="G546" i="3"/>
  <c r="H546" i="3" s="1"/>
  <c r="G545" i="3"/>
  <c r="H545" i="3" s="1"/>
  <c r="G544" i="3"/>
  <c r="H544" i="3" s="1"/>
  <c r="G543" i="3"/>
  <c r="H543" i="3" s="1"/>
  <c r="G542" i="3"/>
  <c r="H542" i="3" s="1"/>
  <c r="G541" i="3"/>
  <c r="H541" i="3" s="1"/>
  <c r="G540" i="3"/>
  <c r="H540" i="3" s="1"/>
  <c r="G539" i="3"/>
  <c r="H539" i="3" s="1"/>
  <c r="G538" i="3"/>
  <c r="H538" i="3" s="1"/>
  <c r="G537" i="3"/>
  <c r="H537" i="3" s="1"/>
  <c r="G536" i="3"/>
  <c r="H536" i="3" s="1"/>
  <c r="G535" i="3"/>
  <c r="H535" i="3" s="1"/>
  <c r="G534" i="3"/>
  <c r="H534" i="3" s="1"/>
  <c r="G533" i="3"/>
  <c r="H533" i="3" s="1"/>
  <c r="G532" i="3"/>
  <c r="H532" i="3" s="1"/>
  <c r="G531" i="3"/>
  <c r="H531" i="3" s="1"/>
  <c r="G530" i="3"/>
  <c r="H530" i="3" s="1"/>
  <c r="G529" i="3"/>
  <c r="H529" i="3" s="1"/>
  <c r="G528" i="3"/>
  <c r="H528" i="3" s="1"/>
  <c r="G527" i="3"/>
  <c r="H527" i="3" s="1"/>
  <c r="G526" i="3"/>
  <c r="H526" i="3" s="1"/>
  <c r="G525" i="3"/>
  <c r="H525" i="3" s="1"/>
  <c r="G524" i="3"/>
  <c r="H524" i="3" s="1"/>
  <c r="G523" i="3"/>
  <c r="H523" i="3" s="1"/>
  <c r="G522" i="3"/>
  <c r="H522" i="3" s="1"/>
  <c r="G521" i="3"/>
  <c r="H521" i="3" s="1"/>
  <c r="G520" i="3"/>
  <c r="H520" i="3" s="1"/>
  <c r="G519" i="3"/>
  <c r="H519" i="3" s="1"/>
  <c r="G518" i="3"/>
  <c r="H518" i="3" s="1"/>
  <c r="G517" i="3"/>
  <c r="H517" i="3" s="1"/>
  <c r="G516" i="3"/>
  <c r="H516" i="3" s="1"/>
  <c r="G515" i="3"/>
  <c r="H515" i="3" s="1"/>
  <c r="G514" i="3"/>
  <c r="H514" i="3" s="1"/>
  <c r="G513" i="3"/>
  <c r="H513" i="3" s="1"/>
  <c r="G512" i="3"/>
  <c r="H512" i="3" s="1"/>
  <c r="G511" i="3"/>
  <c r="H511" i="3" s="1"/>
  <c r="G510" i="3"/>
  <c r="H510" i="3" s="1"/>
  <c r="G509" i="3"/>
  <c r="H509" i="3" s="1"/>
  <c r="G508" i="3"/>
  <c r="H508" i="3" s="1"/>
  <c r="G507" i="3"/>
  <c r="H507" i="3" s="1"/>
  <c r="G506" i="3"/>
  <c r="H506" i="3" s="1"/>
  <c r="G505" i="3"/>
  <c r="H505" i="3" s="1"/>
  <c r="G504" i="3"/>
  <c r="H504" i="3" s="1"/>
  <c r="G503" i="3"/>
  <c r="H503" i="3" s="1"/>
  <c r="G502" i="3"/>
  <c r="H502" i="3" s="1"/>
  <c r="G501" i="3"/>
  <c r="H501" i="3" s="1"/>
  <c r="G500" i="3"/>
  <c r="H500" i="3" s="1"/>
  <c r="G499" i="3"/>
  <c r="H499" i="3" s="1"/>
  <c r="G498" i="3"/>
  <c r="H498" i="3" s="1"/>
  <c r="G497" i="3"/>
  <c r="H497" i="3" s="1"/>
  <c r="G496" i="3"/>
  <c r="H496" i="3" s="1"/>
  <c r="G495" i="3"/>
  <c r="H495" i="3" s="1"/>
  <c r="G494" i="3"/>
  <c r="H494" i="3" s="1"/>
  <c r="G493" i="3"/>
  <c r="H493" i="3" s="1"/>
  <c r="G492" i="3"/>
  <c r="H492" i="3" s="1"/>
  <c r="G491" i="3"/>
  <c r="H491" i="3" s="1"/>
  <c r="G490" i="3"/>
  <c r="H490" i="3" s="1"/>
  <c r="G489" i="3"/>
  <c r="H489" i="3" s="1"/>
  <c r="G488" i="3"/>
  <c r="H488" i="3" s="1"/>
  <c r="G487" i="3"/>
  <c r="H487" i="3" s="1"/>
  <c r="G486" i="3"/>
  <c r="H486" i="3" s="1"/>
  <c r="G485" i="3"/>
  <c r="H485" i="3" s="1"/>
  <c r="G484" i="3"/>
  <c r="H484" i="3" s="1"/>
  <c r="G483" i="3"/>
  <c r="H483" i="3" s="1"/>
  <c r="G482" i="3"/>
  <c r="H482" i="3" s="1"/>
  <c r="G481" i="3"/>
  <c r="H481" i="3" s="1"/>
  <c r="G480" i="3"/>
  <c r="H480" i="3" s="1"/>
  <c r="G479" i="3"/>
  <c r="H479" i="3" s="1"/>
  <c r="G478" i="3"/>
  <c r="H478" i="3" s="1"/>
  <c r="G477" i="3"/>
  <c r="H477" i="3" s="1"/>
  <c r="G476" i="3"/>
  <c r="H476" i="3" s="1"/>
  <c r="G475" i="3"/>
  <c r="H475" i="3" s="1"/>
  <c r="G474" i="3"/>
  <c r="H474" i="3" s="1"/>
  <c r="G473" i="3"/>
  <c r="H473" i="3" s="1"/>
  <c r="G472" i="3"/>
  <c r="H472" i="3" s="1"/>
  <c r="G471" i="3"/>
  <c r="H471" i="3" s="1"/>
  <c r="G470" i="3"/>
  <c r="H470" i="3" s="1"/>
  <c r="G469" i="3"/>
  <c r="H469" i="3" s="1"/>
  <c r="G468" i="3"/>
  <c r="H468" i="3" s="1"/>
  <c r="G467" i="3"/>
  <c r="H467" i="3" s="1"/>
  <c r="G466" i="3"/>
  <c r="H466" i="3" s="1"/>
  <c r="G465" i="3"/>
  <c r="H465" i="3" s="1"/>
  <c r="G464" i="3"/>
  <c r="H464" i="3" s="1"/>
  <c r="G463" i="3"/>
  <c r="H463" i="3" s="1"/>
  <c r="G462" i="3"/>
  <c r="H462" i="3" s="1"/>
  <c r="G461" i="3"/>
  <c r="H461" i="3" s="1"/>
  <c r="G460" i="3"/>
  <c r="H460" i="3" s="1"/>
  <c r="G459" i="3"/>
  <c r="H459" i="3" s="1"/>
  <c r="G458" i="3"/>
  <c r="H458" i="3" s="1"/>
  <c r="G457" i="3"/>
  <c r="H457" i="3" s="1"/>
  <c r="G456" i="3"/>
  <c r="H456" i="3" s="1"/>
  <c r="G455" i="3"/>
  <c r="H455" i="3" s="1"/>
  <c r="G454" i="3"/>
  <c r="H454" i="3" s="1"/>
  <c r="G453" i="3"/>
  <c r="H453" i="3" s="1"/>
  <c r="G452" i="3"/>
  <c r="H452" i="3" s="1"/>
  <c r="G451" i="3"/>
  <c r="H451" i="3" s="1"/>
  <c r="G450" i="3"/>
  <c r="H450" i="3" s="1"/>
  <c r="G449" i="3"/>
  <c r="H449" i="3" s="1"/>
  <c r="G448" i="3"/>
  <c r="H448" i="3" s="1"/>
  <c r="G447" i="3"/>
  <c r="H447" i="3" s="1"/>
  <c r="G446" i="3"/>
  <c r="H446" i="3" s="1"/>
  <c r="G445" i="3"/>
  <c r="H445" i="3" s="1"/>
  <c r="G444" i="3"/>
  <c r="H444" i="3" s="1"/>
  <c r="G443" i="3"/>
  <c r="H443" i="3" s="1"/>
  <c r="G442" i="3"/>
  <c r="H442" i="3" s="1"/>
  <c r="G441" i="3"/>
  <c r="H441" i="3" s="1"/>
  <c r="G440" i="3"/>
  <c r="H440" i="3" s="1"/>
  <c r="G439" i="3"/>
  <c r="H439" i="3" s="1"/>
  <c r="G438" i="3"/>
  <c r="H438" i="3" s="1"/>
  <c r="G437" i="3"/>
  <c r="H437" i="3" s="1"/>
  <c r="G436" i="3"/>
  <c r="H436" i="3" s="1"/>
  <c r="G435" i="3"/>
  <c r="H435" i="3" s="1"/>
  <c r="G434" i="3"/>
  <c r="H434" i="3" s="1"/>
  <c r="G433" i="3"/>
  <c r="H433" i="3" s="1"/>
  <c r="G432" i="3"/>
  <c r="H432" i="3" s="1"/>
  <c r="G431" i="3"/>
  <c r="H431" i="3" s="1"/>
  <c r="G430" i="3"/>
  <c r="H430" i="3" s="1"/>
  <c r="G429" i="3"/>
  <c r="H429" i="3" s="1"/>
  <c r="G428" i="3"/>
  <c r="H428" i="3" s="1"/>
  <c r="G427" i="3"/>
  <c r="H427" i="3" s="1"/>
  <c r="G426" i="3"/>
  <c r="H426" i="3" s="1"/>
  <c r="G425" i="3"/>
  <c r="H425" i="3" s="1"/>
  <c r="G424" i="3"/>
  <c r="H424" i="3" s="1"/>
  <c r="G423" i="3"/>
  <c r="H423" i="3" s="1"/>
  <c r="G422" i="3"/>
  <c r="H422" i="3" s="1"/>
  <c r="G421" i="3"/>
  <c r="H421" i="3" s="1"/>
  <c r="G420" i="3"/>
  <c r="H420" i="3" s="1"/>
  <c r="G419" i="3"/>
  <c r="H419" i="3" s="1"/>
  <c r="G418" i="3"/>
  <c r="H418" i="3" s="1"/>
  <c r="G417" i="3"/>
  <c r="H417" i="3" s="1"/>
  <c r="G416" i="3"/>
  <c r="H416" i="3" s="1"/>
  <c r="G415" i="3"/>
  <c r="H415" i="3" s="1"/>
  <c r="G414" i="3"/>
  <c r="H414" i="3" s="1"/>
  <c r="G413" i="3"/>
  <c r="H413" i="3" s="1"/>
  <c r="G412" i="3"/>
  <c r="H412" i="3" s="1"/>
  <c r="G411" i="3"/>
  <c r="H411" i="3" s="1"/>
  <c r="G410" i="3"/>
  <c r="H410" i="3" s="1"/>
  <c r="G409" i="3"/>
  <c r="H409" i="3" s="1"/>
  <c r="G408" i="3"/>
  <c r="H408" i="3" s="1"/>
  <c r="G407" i="3"/>
  <c r="H407" i="3" s="1"/>
  <c r="G406" i="3"/>
  <c r="H406" i="3" s="1"/>
  <c r="G405" i="3"/>
  <c r="H405" i="3" s="1"/>
  <c r="G404" i="3"/>
  <c r="H404" i="3" s="1"/>
  <c r="G403" i="3"/>
  <c r="H403" i="3" s="1"/>
  <c r="G402" i="3"/>
  <c r="H402" i="3" s="1"/>
  <c r="G401" i="3"/>
  <c r="H401" i="3" s="1"/>
  <c r="G400" i="3"/>
  <c r="H400" i="3" s="1"/>
  <c r="G399" i="3"/>
  <c r="H399" i="3" s="1"/>
  <c r="G398" i="3"/>
  <c r="H398" i="3" s="1"/>
  <c r="G397" i="3"/>
  <c r="H397" i="3" s="1"/>
  <c r="G396" i="3"/>
  <c r="H396" i="3" s="1"/>
  <c r="G395" i="3"/>
  <c r="H395" i="3" s="1"/>
  <c r="G394" i="3"/>
  <c r="H394" i="3" s="1"/>
  <c r="G393" i="3"/>
  <c r="H393" i="3" s="1"/>
  <c r="G392" i="3"/>
  <c r="H392" i="3" s="1"/>
  <c r="G391" i="3"/>
  <c r="H391" i="3" s="1"/>
  <c r="G390" i="3"/>
  <c r="H390" i="3" s="1"/>
  <c r="G389" i="3"/>
  <c r="H389" i="3" s="1"/>
  <c r="G388" i="3"/>
  <c r="H388" i="3" s="1"/>
  <c r="G387" i="3"/>
  <c r="H387" i="3" s="1"/>
  <c r="G386" i="3"/>
  <c r="H386" i="3" s="1"/>
  <c r="G385" i="3"/>
  <c r="H385" i="3" s="1"/>
  <c r="G384" i="3"/>
  <c r="H384" i="3" s="1"/>
  <c r="G383" i="3"/>
  <c r="H383" i="3" s="1"/>
  <c r="G382" i="3"/>
  <c r="H382" i="3" s="1"/>
  <c r="G381" i="3"/>
  <c r="H381" i="3" s="1"/>
  <c r="G380" i="3"/>
  <c r="H380" i="3" s="1"/>
  <c r="G379" i="3"/>
  <c r="H379" i="3" s="1"/>
  <c r="G378" i="3"/>
  <c r="H378" i="3" s="1"/>
  <c r="G377" i="3"/>
  <c r="H377" i="3" s="1"/>
  <c r="G376" i="3"/>
  <c r="H376" i="3" s="1"/>
  <c r="G375" i="3"/>
  <c r="H375" i="3" s="1"/>
  <c r="G374" i="3"/>
  <c r="H374" i="3" s="1"/>
  <c r="G373" i="3"/>
  <c r="H373" i="3" s="1"/>
  <c r="G372" i="3"/>
  <c r="H372" i="3" s="1"/>
  <c r="G371" i="3"/>
  <c r="H371" i="3" s="1"/>
  <c r="G370" i="3"/>
  <c r="H370" i="3" s="1"/>
  <c r="G369" i="3"/>
  <c r="H369" i="3" s="1"/>
  <c r="G368" i="3"/>
  <c r="H368" i="3" s="1"/>
  <c r="G367" i="3"/>
  <c r="H367" i="3" s="1"/>
  <c r="G366" i="3"/>
  <c r="H366" i="3" s="1"/>
  <c r="G365" i="3"/>
  <c r="H365" i="3" s="1"/>
  <c r="G364" i="3"/>
  <c r="H364" i="3" s="1"/>
  <c r="G363" i="3"/>
  <c r="H363" i="3" s="1"/>
  <c r="G362" i="3"/>
  <c r="H362" i="3" s="1"/>
  <c r="G361" i="3"/>
  <c r="H361" i="3" s="1"/>
  <c r="G360" i="3"/>
  <c r="H360" i="3" s="1"/>
  <c r="G359" i="3"/>
  <c r="H359" i="3" s="1"/>
  <c r="G358" i="3"/>
  <c r="H358" i="3" s="1"/>
  <c r="G357" i="3"/>
  <c r="H357" i="3" s="1"/>
  <c r="G356" i="3"/>
  <c r="H356" i="3" s="1"/>
  <c r="G355" i="3"/>
  <c r="H355" i="3" s="1"/>
  <c r="G354" i="3"/>
  <c r="H354" i="3" s="1"/>
  <c r="G353" i="3"/>
  <c r="H353" i="3" s="1"/>
  <c r="G352" i="3"/>
  <c r="H352" i="3" s="1"/>
  <c r="G351" i="3"/>
  <c r="H351" i="3" s="1"/>
  <c r="G350" i="3"/>
  <c r="H350" i="3" s="1"/>
  <c r="G349" i="3"/>
  <c r="H349" i="3" s="1"/>
  <c r="G348" i="3"/>
  <c r="H348" i="3" s="1"/>
  <c r="G347" i="3"/>
  <c r="H347" i="3" s="1"/>
  <c r="G346" i="3"/>
  <c r="H346" i="3" s="1"/>
  <c r="G345" i="3"/>
  <c r="H345" i="3" s="1"/>
  <c r="G344" i="3"/>
  <c r="H344" i="3" s="1"/>
  <c r="G343" i="3"/>
  <c r="H343" i="3" s="1"/>
  <c r="G342" i="3"/>
  <c r="H342" i="3" s="1"/>
  <c r="G341" i="3"/>
  <c r="H341" i="3" s="1"/>
  <c r="G340" i="3"/>
  <c r="H340" i="3" s="1"/>
  <c r="G339" i="3"/>
  <c r="H339" i="3" s="1"/>
  <c r="G338" i="3"/>
  <c r="H338" i="3" s="1"/>
  <c r="G337" i="3"/>
  <c r="H337" i="3" s="1"/>
  <c r="G336" i="3"/>
  <c r="H336" i="3" s="1"/>
  <c r="G335" i="3"/>
  <c r="H335" i="3" s="1"/>
  <c r="G334" i="3"/>
  <c r="H334" i="3" s="1"/>
  <c r="G333" i="3"/>
  <c r="H333" i="3" s="1"/>
  <c r="G332" i="3"/>
  <c r="H332" i="3" s="1"/>
  <c r="G331" i="3"/>
  <c r="H331" i="3" s="1"/>
  <c r="G330" i="3"/>
  <c r="H330" i="3" s="1"/>
  <c r="G329" i="3"/>
  <c r="H329" i="3" s="1"/>
  <c r="G328" i="3"/>
  <c r="H328" i="3" s="1"/>
  <c r="G327" i="3"/>
  <c r="H327" i="3" s="1"/>
  <c r="G326" i="3"/>
  <c r="H326" i="3" s="1"/>
  <c r="G325" i="3"/>
  <c r="H325" i="3" s="1"/>
  <c r="G324" i="3"/>
  <c r="H324" i="3" s="1"/>
  <c r="G323" i="3"/>
  <c r="H323" i="3" s="1"/>
  <c r="G322" i="3"/>
  <c r="H322" i="3" s="1"/>
  <c r="G321" i="3"/>
  <c r="H321" i="3" s="1"/>
  <c r="G320" i="3"/>
  <c r="H320" i="3" s="1"/>
  <c r="G319" i="3"/>
  <c r="H319" i="3" s="1"/>
  <c r="G318" i="3"/>
  <c r="H318" i="3" s="1"/>
  <c r="G317" i="3"/>
  <c r="H317" i="3" s="1"/>
  <c r="G316" i="3"/>
  <c r="H316" i="3" s="1"/>
  <c r="G315" i="3"/>
  <c r="H315" i="3" s="1"/>
  <c r="G314" i="3"/>
  <c r="H314" i="3" s="1"/>
  <c r="G313" i="3"/>
  <c r="H313" i="3" s="1"/>
  <c r="G312" i="3"/>
  <c r="H312" i="3" s="1"/>
  <c r="G311" i="3"/>
  <c r="H311" i="3" s="1"/>
  <c r="G310" i="3"/>
  <c r="H310" i="3" s="1"/>
  <c r="G309" i="3"/>
  <c r="H309" i="3" s="1"/>
  <c r="G308" i="3"/>
  <c r="H308" i="3" s="1"/>
  <c r="G307" i="3"/>
  <c r="H307" i="3" s="1"/>
  <c r="G306" i="3"/>
  <c r="H306" i="3" s="1"/>
  <c r="G305" i="3"/>
  <c r="H305" i="3" s="1"/>
  <c r="G304" i="3"/>
  <c r="H304" i="3" s="1"/>
  <c r="G303" i="3"/>
  <c r="H303" i="3" s="1"/>
  <c r="G302" i="3"/>
  <c r="H302" i="3" s="1"/>
  <c r="G301" i="3"/>
  <c r="H301" i="3" s="1"/>
  <c r="G300" i="3"/>
  <c r="H300" i="3" s="1"/>
  <c r="G299" i="3"/>
  <c r="H299" i="3" s="1"/>
  <c r="G298" i="3"/>
  <c r="H298" i="3" s="1"/>
  <c r="G297" i="3"/>
  <c r="H297" i="3" s="1"/>
  <c r="G296" i="3"/>
  <c r="H296" i="3" s="1"/>
  <c r="G295" i="3"/>
  <c r="H295" i="3" s="1"/>
  <c r="G294" i="3"/>
  <c r="H294" i="3" s="1"/>
  <c r="G293" i="3"/>
  <c r="H293" i="3" s="1"/>
  <c r="G292" i="3"/>
  <c r="H292" i="3" s="1"/>
  <c r="G291" i="3"/>
  <c r="H291" i="3" s="1"/>
  <c r="G290" i="3"/>
  <c r="H290" i="3" s="1"/>
  <c r="G289" i="3"/>
  <c r="H289" i="3" s="1"/>
  <c r="G288" i="3"/>
  <c r="H288" i="3" s="1"/>
  <c r="G287" i="3"/>
  <c r="H287" i="3" s="1"/>
  <c r="G286" i="3"/>
  <c r="H286" i="3" s="1"/>
  <c r="G285" i="3"/>
  <c r="H285" i="3" s="1"/>
  <c r="G284" i="3"/>
  <c r="H284" i="3" s="1"/>
  <c r="G283" i="3"/>
  <c r="H283" i="3" s="1"/>
  <c r="G282" i="3"/>
  <c r="H282" i="3" s="1"/>
  <c r="G281" i="3"/>
  <c r="H281" i="3" s="1"/>
  <c r="G280" i="3"/>
  <c r="H280" i="3" s="1"/>
  <c r="G279" i="3"/>
  <c r="H279" i="3" s="1"/>
  <c r="G278" i="3"/>
  <c r="H278" i="3" s="1"/>
  <c r="G277" i="3"/>
  <c r="H277" i="3" s="1"/>
  <c r="G276" i="3"/>
  <c r="H276" i="3" s="1"/>
  <c r="G275" i="3"/>
  <c r="H275" i="3" s="1"/>
  <c r="G274" i="3"/>
  <c r="H274" i="3" s="1"/>
  <c r="G273" i="3"/>
  <c r="H273" i="3" s="1"/>
  <c r="G272" i="3"/>
  <c r="H272" i="3" s="1"/>
  <c r="G271" i="3"/>
  <c r="H271" i="3" s="1"/>
  <c r="G270" i="3"/>
  <c r="H270" i="3" s="1"/>
  <c r="G269" i="3"/>
  <c r="H269" i="3" s="1"/>
  <c r="G268" i="3"/>
  <c r="H268" i="3" s="1"/>
  <c r="G267" i="3"/>
  <c r="H267" i="3" s="1"/>
  <c r="G266" i="3"/>
  <c r="H266" i="3" s="1"/>
  <c r="G265" i="3"/>
  <c r="H265" i="3" s="1"/>
  <c r="G264" i="3"/>
  <c r="H264" i="3" s="1"/>
  <c r="G263" i="3"/>
  <c r="H263" i="3" s="1"/>
  <c r="G262" i="3"/>
  <c r="H262" i="3" s="1"/>
  <c r="G261" i="3"/>
  <c r="H261" i="3" s="1"/>
  <c r="G260" i="3"/>
  <c r="H260" i="3" s="1"/>
  <c r="G259" i="3"/>
  <c r="H259" i="3" s="1"/>
  <c r="G258" i="3"/>
  <c r="H258" i="3" s="1"/>
  <c r="G257" i="3"/>
  <c r="H257" i="3" s="1"/>
  <c r="G256" i="3"/>
  <c r="H256" i="3" s="1"/>
  <c r="G255" i="3"/>
  <c r="H255" i="3" s="1"/>
  <c r="G254" i="3"/>
  <c r="H254" i="3" s="1"/>
  <c r="G253" i="3"/>
  <c r="H253" i="3" s="1"/>
  <c r="G252" i="3"/>
  <c r="H252" i="3" s="1"/>
  <c r="G251" i="3"/>
  <c r="H251" i="3" s="1"/>
  <c r="G250" i="3"/>
  <c r="H250" i="3" s="1"/>
  <c r="G249" i="3"/>
  <c r="H249" i="3" s="1"/>
  <c r="G248" i="3"/>
  <c r="H248" i="3" s="1"/>
  <c r="G247" i="3"/>
  <c r="H247" i="3" s="1"/>
  <c r="G246" i="3"/>
  <c r="H246" i="3" s="1"/>
  <c r="G245" i="3"/>
  <c r="H245" i="3" s="1"/>
  <c r="G244" i="3"/>
  <c r="H244" i="3" s="1"/>
  <c r="G243" i="3"/>
  <c r="H243" i="3" s="1"/>
  <c r="G242" i="3"/>
  <c r="H242" i="3" s="1"/>
  <c r="G241" i="3"/>
  <c r="H241" i="3" s="1"/>
  <c r="G240" i="3"/>
  <c r="H240" i="3" s="1"/>
  <c r="G239" i="3"/>
  <c r="H239" i="3" s="1"/>
  <c r="G238" i="3"/>
  <c r="H238" i="3" s="1"/>
  <c r="G237" i="3"/>
  <c r="H237" i="3" s="1"/>
  <c r="G236" i="3"/>
  <c r="H236" i="3" s="1"/>
  <c r="G235" i="3"/>
  <c r="H235" i="3" s="1"/>
  <c r="G234" i="3"/>
  <c r="H234" i="3" s="1"/>
  <c r="G233" i="3"/>
  <c r="H233" i="3" s="1"/>
  <c r="G232" i="3"/>
  <c r="H232" i="3" s="1"/>
  <c r="G231" i="3"/>
  <c r="H231" i="3" s="1"/>
  <c r="G230" i="3"/>
  <c r="H230" i="3" s="1"/>
  <c r="G229" i="3"/>
  <c r="H229" i="3" s="1"/>
  <c r="G228" i="3"/>
  <c r="H228" i="3" s="1"/>
  <c r="G227" i="3"/>
  <c r="H227" i="3" s="1"/>
  <c r="G226" i="3"/>
  <c r="H226" i="3" s="1"/>
  <c r="G225" i="3"/>
  <c r="H225" i="3" s="1"/>
  <c r="G224" i="3"/>
  <c r="H224" i="3" s="1"/>
  <c r="G223" i="3"/>
  <c r="H223" i="3" s="1"/>
  <c r="G222" i="3"/>
  <c r="H222" i="3" s="1"/>
  <c r="G221" i="3"/>
  <c r="H221" i="3" s="1"/>
  <c r="G220" i="3"/>
  <c r="H220" i="3" s="1"/>
  <c r="G219" i="3"/>
  <c r="H219" i="3" s="1"/>
  <c r="G218" i="3"/>
  <c r="H218" i="3" s="1"/>
  <c r="G217" i="3"/>
  <c r="H217" i="3" s="1"/>
  <c r="G216" i="3"/>
  <c r="H216" i="3" s="1"/>
  <c r="G215" i="3"/>
  <c r="H215" i="3" s="1"/>
  <c r="G214" i="3"/>
  <c r="H214" i="3" s="1"/>
  <c r="G213" i="3"/>
  <c r="H213" i="3" s="1"/>
  <c r="G212" i="3"/>
  <c r="H212" i="3" s="1"/>
  <c r="G211" i="3"/>
  <c r="H211" i="3" s="1"/>
  <c r="G210" i="3"/>
  <c r="H210" i="3" s="1"/>
  <c r="G209" i="3"/>
  <c r="H209" i="3" s="1"/>
  <c r="G208" i="3"/>
  <c r="H208" i="3" s="1"/>
  <c r="G207" i="3"/>
  <c r="H207" i="3" s="1"/>
  <c r="G206" i="3"/>
  <c r="H206" i="3" s="1"/>
  <c r="G205" i="3"/>
  <c r="H205" i="3" s="1"/>
  <c r="G204" i="3"/>
  <c r="H204" i="3" s="1"/>
  <c r="G203" i="3"/>
  <c r="H203" i="3" s="1"/>
  <c r="G202" i="3"/>
  <c r="H202" i="3" s="1"/>
  <c r="G201" i="3"/>
  <c r="H201" i="3" s="1"/>
  <c r="G200" i="3"/>
  <c r="H200" i="3" s="1"/>
  <c r="G199" i="3"/>
  <c r="H199" i="3" s="1"/>
  <c r="G198" i="3"/>
  <c r="H198" i="3" s="1"/>
  <c r="G197" i="3"/>
  <c r="H197" i="3" s="1"/>
  <c r="G196" i="3"/>
  <c r="H196" i="3" s="1"/>
  <c r="G195" i="3"/>
  <c r="H195" i="3" s="1"/>
  <c r="G194" i="3"/>
  <c r="H194" i="3" s="1"/>
  <c r="G193" i="3"/>
  <c r="H193" i="3" s="1"/>
  <c r="G192" i="3"/>
  <c r="H192" i="3" s="1"/>
  <c r="G191" i="3"/>
  <c r="H191" i="3" s="1"/>
  <c r="G190" i="3"/>
  <c r="H190" i="3" s="1"/>
  <c r="G189" i="3"/>
  <c r="H189" i="3" s="1"/>
  <c r="G188" i="3"/>
  <c r="H188" i="3" s="1"/>
  <c r="G187" i="3"/>
  <c r="H187" i="3" s="1"/>
  <c r="G186" i="3"/>
  <c r="H186" i="3" s="1"/>
  <c r="G185" i="3"/>
  <c r="H185" i="3" s="1"/>
  <c r="G184" i="3"/>
  <c r="H184" i="3" s="1"/>
  <c r="G183" i="3"/>
  <c r="H183" i="3" s="1"/>
  <c r="G182" i="3"/>
  <c r="H182" i="3" s="1"/>
  <c r="G181" i="3"/>
  <c r="H181" i="3" s="1"/>
  <c r="G180" i="3"/>
  <c r="H180" i="3" s="1"/>
  <c r="G179" i="3"/>
  <c r="H179" i="3" s="1"/>
  <c r="G178" i="3"/>
  <c r="H178" i="3" s="1"/>
  <c r="G177" i="3"/>
  <c r="H177" i="3" s="1"/>
  <c r="G176" i="3"/>
  <c r="H176" i="3" s="1"/>
  <c r="G175" i="3"/>
  <c r="H175" i="3" s="1"/>
  <c r="G174" i="3"/>
  <c r="H174" i="3" s="1"/>
  <c r="G173" i="3"/>
  <c r="H173" i="3" s="1"/>
  <c r="G172" i="3"/>
  <c r="H172" i="3" s="1"/>
  <c r="G171" i="3"/>
  <c r="H171" i="3" s="1"/>
  <c r="G170" i="3"/>
  <c r="H170" i="3" s="1"/>
  <c r="G169" i="3"/>
  <c r="H169" i="3" s="1"/>
  <c r="G168" i="3"/>
  <c r="H168" i="3" s="1"/>
  <c r="G167" i="3"/>
  <c r="H167" i="3" s="1"/>
  <c r="G166" i="3"/>
  <c r="H166" i="3" s="1"/>
  <c r="G165" i="3"/>
  <c r="H165" i="3" s="1"/>
  <c r="G164" i="3"/>
  <c r="H164" i="3" s="1"/>
  <c r="G163" i="3"/>
  <c r="H163" i="3" s="1"/>
  <c r="G162" i="3"/>
  <c r="H162" i="3" s="1"/>
  <c r="G161" i="3"/>
  <c r="H161" i="3" s="1"/>
  <c r="G160" i="3"/>
  <c r="H160" i="3" s="1"/>
  <c r="G159" i="3"/>
  <c r="H159" i="3" s="1"/>
  <c r="G158" i="3"/>
  <c r="H158" i="3" s="1"/>
  <c r="G157" i="3"/>
  <c r="H157" i="3" s="1"/>
  <c r="G156" i="3"/>
  <c r="H156" i="3" s="1"/>
  <c r="G155" i="3"/>
  <c r="H155" i="3" s="1"/>
  <c r="G154" i="3"/>
  <c r="H154" i="3" s="1"/>
  <c r="G153" i="3"/>
  <c r="H153" i="3" s="1"/>
  <c r="G152" i="3"/>
  <c r="H152" i="3" s="1"/>
  <c r="G151" i="3"/>
  <c r="H151" i="3" s="1"/>
  <c r="G150" i="3"/>
  <c r="H150" i="3" s="1"/>
  <c r="G149" i="3"/>
  <c r="H149" i="3" s="1"/>
  <c r="G148" i="3"/>
  <c r="H148" i="3" s="1"/>
  <c r="G147" i="3"/>
  <c r="H147" i="3" s="1"/>
  <c r="G146" i="3"/>
  <c r="H146" i="3" s="1"/>
  <c r="G145" i="3"/>
  <c r="H145" i="3" s="1"/>
  <c r="G144" i="3"/>
  <c r="H144" i="3" s="1"/>
  <c r="G143" i="3"/>
  <c r="H143" i="3" s="1"/>
  <c r="G142" i="3"/>
  <c r="H142" i="3" s="1"/>
  <c r="G141" i="3"/>
  <c r="H141" i="3" s="1"/>
  <c r="G140" i="3"/>
  <c r="H140" i="3" s="1"/>
  <c r="G139" i="3"/>
  <c r="H139" i="3" s="1"/>
  <c r="G138" i="3"/>
  <c r="H138" i="3" s="1"/>
  <c r="G137" i="3"/>
  <c r="H137" i="3" s="1"/>
  <c r="G136" i="3"/>
  <c r="H136" i="3" s="1"/>
  <c r="G135" i="3"/>
  <c r="H135" i="3" s="1"/>
  <c r="G134" i="3"/>
  <c r="H134" i="3" s="1"/>
  <c r="G133" i="3"/>
  <c r="H133" i="3" s="1"/>
  <c r="G132" i="3"/>
  <c r="H132" i="3" s="1"/>
  <c r="G131" i="3"/>
  <c r="H131" i="3" s="1"/>
  <c r="G130" i="3"/>
  <c r="H130" i="3" s="1"/>
  <c r="G129" i="3"/>
  <c r="H129" i="3" s="1"/>
  <c r="G128" i="3"/>
  <c r="H128" i="3" s="1"/>
  <c r="G127" i="3"/>
  <c r="H127" i="3" s="1"/>
  <c r="G126" i="3"/>
  <c r="H126" i="3" s="1"/>
  <c r="G125" i="3"/>
  <c r="H125" i="3" s="1"/>
  <c r="G124" i="3"/>
  <c r="H124" i="3" s="1"/>
  <c r="G123" i="3"/>
  <c r="H123" i="3" s="1"/>
  <c r="G122" i="3"/>
  <c r="H122" i="3" s="1"/>
  <c r="G121" i="3"/>
  <c r="H121" i="3" s="1"/>
  <c r="G120" i="3"/>
  <c r="H120" i="3" s="1"/>
  <c r="G119" i="3"/>
  <c r="H119" i="3" s="1"/>
  <c r="G118" i="3"/>
  <c r="H118" i="3" s="1"/>
  <c r="G117" i="3"/>
  <c r="H117" i="3" s="1"/>
  <c r="G116" i="3"/>
  <c r="H116" i="3" s="1"/>
  <c r="G115" i="3"/>
  <c r="H115" i="3" s="1"/>
  <c r="G114" i="3"/>
  <c r="H114" i="3" s="1"/>
  <c r="G113" i="3"/>
  <c r="H113" i="3" s="1"/>
  <c r="G112" i="3"/>
  <c r="H112" i="3" s="1"/>
  <c r="G111" i="3"/>
  <c r="H111" i="3" s="1"/>
  <c r="G110" i="3"/>
  <c r="H110" i="3" s="1"/>
  <c r="G109" i="3"/>
  <c r="H109" i="3" s="1"/>
  <c r="G108" i="3"/>
  <c r="H108" i="3" s="1"/>
  <c r="G107" i="3"/>
  <c r="H107" i="3" s="1"/>
  <c r="G106" i="3"/>
  <c r="H106" i="3" s="1"/>
  <c r="G105" i="3"/>
  <c r="H105" i="3" s="1"/>
  <c r="G104" i="3"/>
  <c r="H104" i="3" s="1"/>
  <c r="G103" i="3"/>
  <c r="H103" i="3" s="1"/>
  <c r="G102" i="3"/>
  <c r="H102" i="3" s="1"/>
  <c r="G101" i="3"/>
  <c r="H101" i="3" s="1"/>
  <c r="G100" i="3"/>
  <c r="H100" i="3" s="1"/>
  <c r="G99" i="3"/>
  <c r="H99" i="3" s="1"/>
  <c r="G98" i="3"/>
  <c r="H98" i="3" s="1"/>
  <c r="G97" i="3"/>
  <c r="H97" i="3" s="1"/>
  <c r="G96" i="3"/>
  <c r="H96" i="3" s="1"/>
  <c r="G95" i="3"/>
  <c r="H95" i="3" s="1"/>
  <c r="G94" i="3"/>
  <c r="H94" i="3" s="1"/>
  <c r="G93" i="3"/>
  <c r="H93" i="3" s="1"/>
  <c r="G92" i="3"/>
  <c r="H92" i="3" s="1"/>
  <c r="G91" i="3"/>
  <c r="H91" i="3" s="1"/>
  <c r="G90" i="3"/>
  <c r="H90" i="3" s="1"/>
  <c r="G89" i="3"/>
  <c r="H89" i="3" s="1"/>
  <c r="G88" i="3"/>
  <c r="H88" i="3" s="1"/>
  <c r="G87" i="3"/>
  <c r="H87" i="3" s="1"/>
  <c r="G86" i="3"/>
  <c r="H86" i="3" s="1"/>
  <c r="G85" i="3"/>
  <c r="H85" i="3" s="1"/>
  <c r="G84" i="3"/>
  <c r="H84" i="3" s="1"/>
  <c r="G83" i="3"/>
  <c r="H83" i="3" s="1"/>
  <c r="G82" i="3"/>
  <c r="H82" i="3" s="1"/>
  <c r="G81" i="3"/>
  <c r="H81" i="3" s="1"/>
  <c r="G80" i="3"/>
  <c r="H80" i="3" s="1"/>
  <c r="G79" i="3"/>
  <c r="H79" i="3" s="1"/>
  <c r="G78" i="3"/>
  <c r="H78" i="3" s="1"/>
  <c r="G77" i="3"/>
  <c r="H77" i="3" s="1"/>
  <c r="G76" i="3"/>
  <c r="H76" i="3" s="1"/>
  <c r="G75" i="3"/>
  <c r="H75" i="3" s="1"/>
  <c r="G74" i="3"/>
  <c r="H74" i="3" s="1"/>
  <c r="G73" i="3"/>
  <c r="H73" i="3" s="1"/>
  <c r="G72" i="3"/>
  <c r="H72" i="3" s="1"/>
  <c r="G71" i="3"/>
  <c r="H71" i="3" s="1"/>
  <c r="G70" i="3"/>
  <c r="H70" i="3" s="1"/>
  <c r="G69" i="3"/>
  <c r="H69" i="3" s="1"/>
  <c r="G68" i="3"/>
  <c r="H68" i="3" s="1"/>
  <c r="G67" i="3"/>
  <c r="H67" i="3" s="1"/>
  <c r="G66" i="3"/>
  <c r="H66" i="3" s="1"/>
  <c r="G65" i="3"/>
  <c r="H65" i="3" s="1"/>
  <c r="G64" i="3"/>
  <c r="H64" i="3" s="1"/>
  <c r="G63" i="3"/>
  <c r="H63" i="3" s="1"/>
  <c r="G62" i="3"/>
  <c r="H62" i="3" s="1"/>
  <c r="G61" i="3"/>
  <c r="H61" i="3" s="1"/>
  <c r="G60" i="3"/>
  <c r="H60" i="3" s="1"/>
  <c r="G59" i="3"/>
  <c r="H59" i="3" s="1"/>
  <c r="G58" i="3"/>
  <c r="H58" i="3" s="1"/>
  <c r="G57" i="3"/>
  <c r="H57" i="3" s="1"/>
  <c r="G56" i="3"/>
  <c r="H56" i="3" s="1"/>
  <c r="G55" i="3"/>
  <c r="H55" i="3" s="1"/>
  <c r="G54" i="3"/>
  <c r="H54" i="3" s="1"/>
  <c r="G53" i="3"/>
  <c r="H53" i="3" s="1"/>
  <c r="G52" i="3"/>
  <c r="H52" i="3" s="1"/>
  <c r="G51" i="3"/>
  <c r="H51" i="3" s="1"/>
  <c r="G50" i="3"/>
  <c r="H50" i="3" s="1"/>
  <c r="G49" i="3"/>
  <c r="H49" i="3" s="1"/>
  <c r="H48" i="3"/>
  <c r="G47" i="3"/>
  <c r="H47" i="3" s="1"/>
  <c r="G46" i="3"/>
  <c r="H46" i="3" s="1"/>
  <c r="G45" i="3"/>
  <c r="H45" i="3" s="1"/>
  <c r="G44" i="3"/>
  <c r="H44" i="3" s="1"/>
  <c r="G43" i="3"/>
  <c r="H43" i="3" s="1"/>
  <c r="G42" i="3"/>
  <c r="H42" i="3" s="1"/>
  <c r="G41" i="3"/>
  <c r="H41" i="3" s="1"/>
  <c r="G40" i="3"/>
  <c r="H40" i="3" s="1"/>
  <c r="G39" i="3"/>
  <c r="H39" i="3" s="1"/>
  <c r="G38" i="3"/>
  <c r="H38" i="3" s="1"/>
  <c r="G37" i="3"/>
  <c r="H37" i="3" s="1"/>
  <c r="G36" i="3"/>
  <c r="H36" i="3" s="1"/>
  <c r="G35" i="3"/>
  <c r="H35" i="3" s="1"/>
  <c r="G34" i="3"/>
  <c r="H34" i="3" s="1"/>
  <c r="G33" i="3"/>
  <c r="H33" i="3" s="1"/>
  <c r="G32" i="3"/>
  <c r="H32" i="3" s="1"/>
  <c r="G31" i="3"/>
  <c r="H31" i="3" s="1"/>
  <c r="G30" i="3"/>
  <c r="H30" i="3" s="1"/>
  <c r="G29" i="3"/>
  <c r="H29" i="3" s="1"/>
  <c r="G28" i="3"/>
  <c r="H28" i="3" s="1"/>
  <c r="G27" i="3"/>
  <c r="H27" i="3" s="1"/>
  <c r="G26" i="3"/>
  <c r="H26" i="3" s="1"/>
  <c r="G25" i="3"/>
  <c r="H25" i="3" s="1"/>
  <c r="G24" i="3"/>
  <c r="H24" i="3" s="1"/>
  <c r="G23" i="3"/>
  <c r="H23" i="3" s="1"/>
  <c r="G22" i="3"/>
  <c r="H22" i="3" s="1"/>
  <c r="G21" i="3"/>
  <c r="H21" i="3" s="1"/>
  <c r="G20" i="3"/>
  <c r="H20" i="3" s="1"/>
  <c r="G19" i="3"/>
  <c r="H19" i="3" s="1"/>
  <c r="G18" i="3"/>
  <c r="H18" i="3" s="1"/>
  <c r="G17" i="3"/>
  <c r="H17" i="3" s="1"/>
  <c r="G16" i="3"/>
  <c r="H16" i="3" s="1"/>
  <c r="G15" i="3"/>
  <c r="H15" i="3" s="1"/>
  <c r="G14" i="3"/>
  <c r="H14" i="3" s="1"/>
  <c r="G13" i="3"/>
  <c r="H13" i="3" s="1"/>
  <c r="G12" i="3"/>
  <c r="H12" i="3" s="1"/>
  <c r="G11" i="3"/>
  <c r="H11" i="3" s="1"/>
  <c r="G10" i="3"/>
  <c r="H10" i="3" s="1"/>
  <c r="G9" i="3"/>
  <c r="H9" i="3" s="1"/>
  <c r="G8" i="3"/>
  <c r="H8" i="3" s="1"/>
  <c r="G7" i="3"/>
  <c r="H7" i="3" s="1"/>
  <c r="G6" i="3"/>
  <c r="H6" i="3" s="1"/>
  <c r="G5" i="3"/>
  <c r="H5" i="3" s="1"/>
  <c r="I220" i="24" l="1"/>
  <c r="H45" i="25"/>
  <c r="K56" i="25"/>
  <c r="H46" i="25"/>
  <c r="H37" i="25"/>
  <c r="I37" i="25" s="1"/>
  <c r="H31" i="25"/>
  <c r="I31" i="25" s="1"/>
  <c r="H19" i="25"/>
  <c r="H34" i="25"/>
  <c r="I34" i="25" s="1"/>
  <c r="H32" i="25"/>
  <c r="I32" i="25" s="1"/>
  <c r="H51" i="25"/>
  <c r="H16" i="25"/>
  <c r="H29" i="25"/>
  <c r="I29" i="25" s="1"/>
  <c r="H38" i="25"/>
  <c r="I38" i="25" s="1"/>
  <c r="H36" i="25"/>
  <c r="I36" i="25" s="1"/>
  <c r="H30" i="25"/>
  <c r="I30" i="25" s="1"/>
  <c r="H42" i="25"/>
  <c r="K57" i="25"/>
  <c r="H57" i="25"/>
  <c r="I57" i="25" s="1"/>
  <c r="H35" i="25"/>
  <c r="I35" i="25" s="1"/>
  <c r="H28" i="25"/>
  <c r="H15" i="25"/>
  <c r="H52" i="25"/>
  <c r="H56" i="25"/>
  <c r="I56" i="25" s="1"/>
  <c r="H40" i="25"/>
  <c r="I40" i="25" s="1"/>
  <c r="H22" i="25"/>
  <c r="H39" i="25"/>
  <c r="I39" i="25" s="1"/>
  <c r="K45" i="25"/>
  <c r="H33" i="25"/>
  <c r="I33" i="25" s="1"/>
  <c r="H223" i="28"/>
  <c r="AE283" i="28"/>
  <c r="H257" i="28"/>
  <c r="AI272" i="28"/>
  <c r="H245" i="28"/>
  <c r="H294" i="28"/>
  <c r="H374" i="28"/>
  <c r="AG317" i="24" l="1"/>
  <c r="J317" i="24" s="1"/>
  <c r="D90" i="29"/>
  <c r="D91" i="29" s="1"/>
  <c r="D364" i="24"/>
  <c r="I483" i="24"/>
  <c r="H148" i="28"/>
  <c r="H96" i="28"/>
  <c r="H105" i="28"/>
  <c r="H61" i="28"/>
  <c r="H75" i="28"/>
  <c r="H140" i="28"/>
  <c r="I59" i="25"/>
  <c r="I16" i="25"/>
  <c r="N16" i="25"/>
  <c r="I51" i="25"/>
  <c r="H50" i="25"/>
  <c r="N50" i="25" s="1"/>
  <c r="N51" i="25"/>
  <c r="I15" i="25"/>
  <c r="H14" i="25"/>
  <c r="N15" i="25"/>
  <c r="N52" i="25"/>
  <c r="I52" i="25"/>
  <c r="I28" i="25"/>
  <c r="I27" i="25" s="1"/>
  <c r="H27" i="25"/>
  <c r="N19" i="25"/>
  <c r="I19" i="25"/>
  <c r="H18" i="25"/>
  <c r="N18" i="25" s="1"/>
  <c r="L57" i="25"/>
  <c r="M57" i="25" s="1"/>
  <c r="N57" i="25"/>
  <c r="N42" i="25"/>
  <c r="I42" i="25"/>
  <c r="N45" i="25"/>
  <c r="K44" i="25"/>
  <c r="N56" i="25"/>
  <c r="L56" i="25"/>
  <c r="N22" i="25"/>
  <c r="I22" i="25"/>
  <c r="I45" i="25"/>
  <c r="H44" i="25"/>
  <c r="I44" i="25" s="1"/>
  <c r="H204" i="28"/>
  <c r="G232" i="28"/>
  <c r="AC272" i="28"/>
  <c r="G223" i="28"/>
  <c r="G96" i="28"/>
  <c r="G105" i="28"/>
  <c r="G140" i="28"/>
  <c r="G148" i="28"/>
  <c r="H336" i="28"/>
  <c r="H419" i="28"/>
  <c r="G257" i="28"/>
  <c r="AC283" i="28"/>
  <c r="G245" i="28"/>
  <c r="G204" i="28"/>
  <c r="G61" i="28"/>
  <c r="G119" i="28"/>
  <c r="G75" i="28"/>
  <c r="I345" i="24" l="1"/>
  <c r="D404" i="24"/>
  <c r="I404" i="24" s="1"/>
  <c r="D365" i="24"/>
  <c r="J496" i="24"/>
  <c r="I364" i="24"/>
  <c r="AG335" i="24"/>
  <c r="J335" i="24" s="1"/>
  <c r="I512" i="24"/>
  <c r="E60" i="29"/>
  <c r="E62" i="29" s="1"/>
  <c r="AD283" i="28"/>
  <c r="K60" i="29"/>
  <c r="K62" i="29" s="1"/>
  <c r="H196" i="28"/>
  <c r="H119" i="28"/>
  <c r="H50" i="28"/>
  <c r="H187" i="28"/>
  <c r="G187" i="28"/>
  <c r="G50" i="28"/>
  <c r="G294" i="28"/>
  <c r="AE272" i="28"/>
  <c r="CL164" i="28"/>
  <c r="J60" i="29"/>
  <c r="J62" i="29" s="1"/>
  <c r="G336" i="28"/>
  <c r="G374" i="28"/>
  <c r="C431" i="28"/>
  <c r="G419" i="28"/>
  <c r="G391" i="28"/>
  <c r="D463" i="24"/>
  <c r="C398" i="28"/>
  <c r="C399" i="28" s="1"/>
  <c r="C432" i="28"/>
  <c r="C430" i="28"/>
  <c r="C426" i="28"/>
  <c r="I26" i="25"/>
  <c r="H21" i="25"/>
  <c r="N14" i="25"/>
  <c r="I14" i="25"/>
  <c r="J15" i="25" s="1"/>
  <c r="I50" i="25"/>
  <c r="I18" i="25"/>
  <c r="M56" i="25"/>
  <c r="L59" i="25"/>
  <c r="M59" i="25" s="1"/>
  <c r="H26" i="25"/>
  <c r="N27" i="25"/>
  <c r="K26" i="25"/>
  <c r="K48" i="25" s="1"/>
  <c r="N44" i="25"/>
  <c r="L44" i="25"/>
  <c r="M44" i="25" s="1"/>
  <c r="AF335" i="24"/>
  <c r="H314" i="28"/>
  <c r="H448" i="28"/>
  <c r="H433" i="28"/>
  <c r="G448" i="28"/>
  <c r="I365" i="24" l="1"/>
  <c r="I21" i="25"/>
  <c r="J21" i="25" s="1"/>
  <c r="J52" i="25"/>
  <c r="J59" i="25"/>
  <c r="J50" i="25"/>
  <c r="J44" i="25"/>
  <c r="C433" i="28"/>
  <c r="G433" i="28" s="1"/>
  <c r="N26" i="25"/>
  <c r="J16" i="25"/>
  <c r="J14" i="25" s="1"/>
  <c r="J46" i="25"/>
  <c r="J56" i="25"/>
  <c r="J57" i="25"/>
  <c r="J19" i="25"/>
  <c r="J18" i="25" s="1"/>
  <c r="J51" i="25"/>
  <c r="J22" i="25"/>
  <c r="H24" i="25"/>
  <c r="N21" i="25"/>
  <c r="J27" i="25"/>
  <c r="K54" i="25"/>
  <c r="J45" i="25"/>
  <c r="J42" i="25"/>
  <c r="D496" i="24"/>
  <c r="I496" i="24" s="1"/>
  <c r="I463" i="24" l="1"/>
  <c r="I24" i="25"/>
  <c r="I48" i="25" s="1"/>
  <c r="G399" i="28"/>
  <c r="N24" i="25"/>
  <c r="H48" i="25"/>
  <c r="K59" i="25"/>
  <c r="J26" i="25"/>
  <c r="D366" i="24" l="1"/>
  <c r="D367" i="24" s="1"/>
  <c r="F413" i="24"/>
  <c r="F416" i="24" s="1"/>
  <c r="J24" i="25"/>
  <c r="I54" i="25"/>
  <c r="J54" i="25" s="1"/>
  <c r="J48" i="25"/>
  <c r="H54" i="25"/>
  <c r="N48" i="25"/>
  <c r="I366" i="24" l="1"/>
  <c r="H59" i="25"/>
  <c r="N59" i="25" s="1"/>
  <c r="N54" i="25"/>
  <c r="I367" i="24" l="1"/>
  <c r="N416" i="24" l="1"/>
  <c r="X41" i="29"/>
  <c r="L416" i="24" l="1"/>
  <c r="L60" i="29"/>
  <c r="L62" i="29" s="1"/>
  <c r="M60" i="29" l="1"/>
  <c r="M62" i="29" s="1"/>
  <c r="G314" i="28"/>
  <c r="J463" i="24" l="1"/>
  <c r="H399" i="28" l="1"/>
  <c r="I81" i="24" l="1"/>
  <c r="I179" i="24" l="1"/>
  <c r="I228" i="24"/>
  <c r="I131" i="24"/>
  <c r="I255" i="24"/>
  <c r="I64" i="24"/>
  <c r="AE317" i="24"/>
  <c r="I317" i="24" s="1"/>
  <c r="I297" i="24"/>
  <c r="CN181" i="24"/>
  <c r="I48" i="24" l="1"/>
  <c r="I157" i="24"/>
  <c r="I104" i="24"/>
  <c r="AE335" i="24"/>
  <c r="I335" i="24" s="1"/>
  <c r="I165" i="24"/>
  <c r="I309" i="24"/>
  <c r="I211" i="24"/>
</calcChain>
</file>

<file path=xl/sharedStrings.xml><?xml version="1.0" encoding="utf-8"?>
<sst xmlns="http://schemas.openxmlformats.org/spreadsheetml/2006/main" count="20376" uniqueCount="7402">
  <si>
    <t>Conta Corrente</t>
  </si>
  <si>
    <t>'= CAIXA</t>
  </si>
  <si>
    <t>105000026600000000000191</t>
  </si>
  <si>
    <t>'= LIMITE DE SAQUE COM VINCULACAO DE PGTO - OFSS</t>
  </si>
  <si>
    <t>1000000000130</t>
  </si>
  <si>
    <t>1000000000307</t>
  </si>
  <si>
    <t>1000000000308</t>
  </si>
  <si>
    <t>1000000000309</t>
  </si>
  <si>
    <t>1000000000310</t>
  </si>
  <si>
    <t>1000000000340</t>
  </si>
  <si>
    <t>1000000000400</t>
  </si>
  <si>
    <t>1000000000510</t>
  </si>
  <si>
    <t>1050000266400</t>
  </si>
  <si>
    <t>1050000266500</t>
  </si>
  <si>
    <t>1491000000990</t>
  </si>
  <si>
    <t>1491980000990</t>
  </si>
  <si>
    <t>3050000266400</t>
  </si>
  <si>
    <t>'= LIM DE SAQUE C/VINC.PAGTO- ORDEM PAGTO - OFSS</t>
  </si>
  <si>
    <t>112210103</t>
  </si>
  <si>
    <t>'= FATURAS/DUPL A REC - ESTOQUES PROPRIOS</t>
  </si>
  <si>
    <t>01541664000120</t>
  </si>
  <si>
    <t>03669753000182</t>
  </si>
  <si>
    <t>03945240000319</t>
  </si>
  <si>
    <t>05436017000100</t>
  </si>
  <si>
    <t>33220880000160</t>
  </si>
  <si>
    <t>33220880000837</t>
  </si>
  <si>
    <t>33247271001177</t>
  </si>
  <si>
    <t>37513014000119</t>
  </si>
  <si>
    <t>40321754000168</t>
  </si>
  <si>
    <t>42540211000248</t>
  </si>
  <si>
    <t>46004538000175</t>
  </si>
  <si>
    <t>789200</t>
  </si>
  <si>
    <t>112210106</t>
  </si>
  <si>
    <t>'= FATURAS/DUPL A REC - PRESTACAO DE SERVICOS</t>
  </si>
  <si>
    <t>02154943001176</t>
  </si>
  <si>
    <t>02381910000197</t>
  </si>
  <si>
    <t>03945240000157</t>
  </si>
  <si>
    <t>04181506000103</t>
  </si>
  <si>
    <t>10580217000171</t>
  </si>
  <si>
    <t>33039223000111</t>
  </si>
  <si>
    <t>33247271000103</t>
  </si>
  <si>
    <t>42540211000167</t>
  </si>
  <si>
    <t>'= 13 SALARIO - ADIANTAMENTO</t>
  </si>
  <si>
    <t>PF9999905</t>
  </si>
  <si>
    <t>'= VIAGENS - ADIANTAMENTO</t>
  </si>
  <si>
    <t>00021221707</t>
  </si>
  <si>
    <t>00085062723</t>
  </si>
  <si>
    <t>00345967712</t>
  </si>
  <si>
    <t>00479751722</t>
  </si>
  <si>
    <t>00950520705</t>
  </si>
  <si>
    <t>01403752524</t>
  </si>
  <si>
    <t>01406066702</t>
  </si>
  <si>
    <t>01414462778</t>
  </si>
  <si>
    <t>01455185744</t>
  </si>
  <si>
    <t>01617762725</t>
  </si>
  <si>
    <t>01652326766</t>
  </si>
  <si>
    <t>01851133704</t>
  </si>
  <si>
    <t>01947411764</t>
  </si>
  <si>
    <t>02051085714</t>
  </si>
  <si>
    <t>02065435739</t>
  </si>
  <si>
    <t>02132647739</t>
  </si>
  <si>
    <t>02155157738</t>
  </si>
  <si>
    <t>02170461779</t>
  </si>
  <si>
    <t>02314099745</t>
  </si>
  <si>
    <t>02505136769</t>
  </si>
  <si>
    <t>02529663769</t>
  </si>
  <si>
    <t>02539202721</t>
  </si>
  <si>
    <t>02585313719</t>
  </si>
  <si>
    <t>03018866797</t>
  </si>
  <si>
    <t>03248614781</t>
  </si>
  <si>
    <t>03318464708</t>
  </si>
  <si>
    <t>03408946795</t>
  </si>
  <si>
    <t>03434794786</t>
  </si>
  <si>
    <t>03470602182</t>
  </si>
  <si>
    <t>03595051718</t>
  </si>
  <si>
    <t>03870112778</t>
  </si>
  <si>
    <t>04150881782</t>
  </si>
  <si>
    <t>04243088780</t>
  </si>
  <si>
    <t>04411522799</t>
  </si>
  <si>
    <t>04412254704</t>
  </si>
  <si>
    <t>04416936796</t>
  </si>
  <si>
    <t>04467200541</t>
  </si>
  <si>
    <t>05151986767</t>
  </si>
  <si>
    <t>05182550774</t>
  </si>
  <si>
    <t>05282052776</t>
  </si>
  <si>
    <t>05314448726</t>
  </si>
  <si>
    <t>05320361742</t>
  </si>
  <si>
    <t>05320369646</t>
  </si>
  <si>
    <t>05341682645</t>
  </si>
  <si>
    <t>05361046701</t>
  </si>
  <si>
    <t>05492202758</t>
  </si>
  <si>
    <t>05519024774</t>
  </si>
  <si>
    <t>05532915725</t>
  </si>
  <si>
    <t>05541957710</t>
  </si>
  <si>
    <t>05618288737</t>
  </si>
  <si>
    <t>05645709748</t>
  </si>
  <si>
    <t>05677782742</t>
  </si>
  <si>
    <t>05678774778</t>
  </si>
  <si>
    <t>05791053770</t>
  </si>
  <si>
    <t>05863108789</t>
  </si>
  <si>
    <t>05869949718</t>
  </si>
  <si>
    <t>05877414739</t>
  </si>
  <si>
    <t>05977083718</t>
  </si>
  <si>
    <t>05985523756</t>
  </si>
  <si>
    <t>06036103743</t>
  </si>
  <si>
    <t>06070982797</t>
  </si>
  <si>
    <t>06964465707</t>
  </si>
  <si>
    <t>07011054707</t>
  </si>
  <si>
    <t>07034952752</t>
  </si>
  <si>
    <t>07332423758</t>
  </si>
  <si>
    <t>07349170742</t>
  </si>
  <si>
    <t>07358038703</t>
  </si>
  <si>
    <t>07450725770</t>
  </si>
  <si>
    <t>07454288782</t>
  </si>
  <si>
    <t>07506693739</t>
  </si>
  <si>
    <t>07552841788</t>
  </si>
  <si>
    <t>07568732746</t>
  </si>
  <si>
    <t>07650953785</t>
  </si>
  <si>
    <t>07712093717</t>
  </si>
  <si>
    <t>07788307726</t>
  </si>
  <si>
    <t>07808975796</t>
  </si>
  <si>
    <t>07809171704</t>
  </si>
  <si>
    <t>07844342714</t>
  </si>
  <si>
    <t>07845629707</t>
  </si>
  <si>
    <t>07876820719</t>
  </si>
  <si>
    <t>07887245761</t>
  </si>
  <si>
    <t>07912863710</t>
  </si>
  <si>
    <t>08034666769</t>
  </si>
  <si>
    <t>08117186705</t>
  </si>
  <si>
    <t>08252397700</t>
  </si>
  <si>
    <t>08253330758</t>
  </si>
  <si>
    <t>08352320777</t>
  </si>
  <si>
    <t>08389037700</t>
  </si>
  <si>
    <t>08403534728</t>
  </si>
  <si>
    <t>08471275759</t>
  </si>
  <si>
    <t>08502159780</t>
  </si>
  <si>
    <t>08510378797</t>
  </si>
  <si>
    <t>08610700704</t>
  </si>
  <si>
    <t>08687718721</t>
  </si>
  <si>
    <t>08691815728</t>
  </si>
  <si>
    <t>08741297709</t>
  </si>
  <si>
    <t>08751517795</t>
  </si>
  <si>
    <t>09074683738</t>
  </si>
  <si>
    <t>09083315762</t>
  </si>
  <si>
    <t>09125619713</t>
  </si>
  <si>
    <t>09175552795</t>
  </si>
  <si>
    <t>09233861732</t>
  </si>
  <si>
    <t>09285929796</t>
  </si>
  <si>
    <t>09296059771</t>
  </si>
  <si>
    <t>09409138795</t>
  </si>
  <si>
    <t>09480332744</t>
  </si>
  <si>
    <t>09537610705</t>
  </si>
  <si>
    <t>09621077788</t>
  </si>
  <si>
    <t>09625244760</t>
  </si>
  <si>
    <t>09667427706</t>
  </si>
  <si>
    <t>09710217755</t>
  </si>
  <si>
    <t>09715087710</t>
  </si>
  <si>
    <t>09773174719</t>
  </si>
  <si>
    <t>09788118798</t>
  </si>
  <si>
    <t>09860243760</t>
  </si>
  <si>
    <t>09905589759</t>
  </si>
  <si>
    <t>10029617774</t>
  </si>
  <si>
    <t>10104989750</t>
  </si>
  <si>
    <t>10238278751</t>
  </si>
  <si>
    <t>10505533731</t>
  </si>
  <si>
    <t>10544676769</t>
  </si>
  <si>
    <t>10578800780</t>
  </si>
  <si>
    <t>10613752775</t>
  </si>
  <si>
    <t>10678049785</t>
  </si>
  <si>
    <t>10748275703</t>
  </si>
  <si>
    <t>10913562700</t>
  </si>
  <si>
    <t>10946153744</t>
  </si>
  <si>
    <t>10949347710</t>
  </si>
  <si>
    <t>10980620783</t>
  </si>
  <si>
    <t>10986762709</t>
  </si>
  <si>
    <t>11026627710</t>
  </si>
  <si>
    <t>11036758770</t>
  </si>
  <si>
    <t>11069612774</t>
  </si>
  <si>
    <t>11088864775</t>
  </si>
  <si>
    <t>11093884703</t>
  </si>
  <si>
    <t>11103375741</t>
  </si>
  <si>
    <t>11103390708</t>
  </si>
  <si>
    <t>11103478710</t>
  </si>
  <si>
    <t>11106048741</t>
  </si>
  <si>
    <t>11146789700</t>
  </si>
  <si>
    <t>11254992731</t>
  </si>
  <si>
    <t>11485189756</t>
  </si>
  <si>
    <t>11496825748</t>
  </si>
  <si>
    <t>11621224716</t>
  </si>
  <si>
    <t>11624919731</t>
  </si>
  <si>
    <t>11657929744</t>
  </si>
  <si>
    <t>11748498789</t>
  </si>
  <si>
    <t>11753893747</t>
  </si>
  <si>
    <t>11882656792</t>
  </si>
  <si>
    <t>11888471719</t>
  </si>
  <si>
    <t>11930765797</t>
  </si>
  <si>
    <t>12002456798</t>
  </si>
  <si>
    <t>12010504720</t>
  </si>
  <si>
    <t>12116849705</t>
  </si>
  <si>
    <t>12133147713</t>
  </si>
  <si>
    <t>12153142725</t>
  </si>
  <si>
    <t>12178480705</t>
  </si>
  <si>
    <t>12179313764</t>
  </si>
  <si>
    <t>12207050718</t>
  </si>
  <si>
    <t>12228568759</t>
  </si>
  <si>
    <t>12232702707</t>
  </si>
  <si>
    <t>12243559706</t>
  </si>
  <si>
    <t>12243564700</t>
  </si>
  <si>
    <t>12323155750</t>
  </si>
  <si>
    <t>12339353726</t>
  </si>
  <si>
    <t>12360509756</t>
  </si>
  <si>
    <t>12388168783</t>
  </si>
  <si>
    <t>12416679775</t>
  </si>
  <si>
    <t>12455956792</t>
  </si>
  <si>
    <t>12530156786</t>
  </si>
  <si>
    <t>12603865706</t>
  </si>
  <si>
    <t>12609177704</t>
  </si>
  <si>
    <t>12662396776</t>
  </si>
  <si>
    <t>12853099792</t>
  </si>
  <si>
    <t>12907866745</t>
  </si>
  <si>
    <t>12952461716</t>
  </si>
  <si>
    <t>13045670792</t>
  </si>
  <si>
    <t>13069590713</t>
  </si>
  <si>
    <t>13088310720</t>
  </si>
  <si>
    <t>13151337767</t>
  </si>
  <si>
    <t>13151475728</t>
  </si>
  <si>
    <t>13194064754</t>
  </si>
  <si>
    <t>13258665710</t>
  </si>
  <si>
    <t>13333191776</t>
  </si>
  <si>
    <t>13392853712</t>
  </si>
  <si>
    <t>13446574786</t>
  </si>
  <si>
    <t>13451535700</t>
  </si>
  <si>
    <t>13463298775</t>
  </si>
  <si>
    <t>13480919758</t>
  </si>
  <si>
    <t>13480920764</t>
  </si>
  <si>
    <t>13482043701</t>
  </si>
  <si>
    <t>13484367784</t>
  </si>
  <si>
    <t>13497946788</t>
  </si>
  <si>
    <t>13533250750</t>
  </si>
  <si>
    <t>13668542767</t>
  </si>
  <si>
    <t>13741060704</t>
  </si>
  <si>
    <t>13874852709</t>
  </si>
  <si>
    <t>13900181721</t>
  </si>
  <si>
    <t>13955154769</t>
  </si>
  <si>
    <t>13967293726</t>
  </si>
  <si>
    <t>13986385797</t>
  </si>
  <si>
    <t>13997958726</t>
  </si>
  <si>
    <t>14010890703</t>
  </si>
  <si>
    <t>14026860728</t>
  </si>
  <si>
    <t>14061197762</t>
  </si>
  <si>
    <t>14075506754</t>
  </si>
  <si>
    <t>14134212707</t>
  </si>
  <si>
    <t>14160946798</t>
  </si>
  <si>
    <t>14445540773</t>
  </si>
  <si>
    <t>14449976703</t>
  </si>
  <si>
    <t>14455754776</t>
  </si>
  <si>
    <t>14460027720</t>
  </si>
  <si>
    <t>14461291790</t>
  </si>
  <si>
    <t>14483941712</t>
  </si>
  <si>
    <t>14489778783</t>
  </si>
  <si>
    <t>14513251778</t>
  </si>
  <si>
    <t>14515368796</t>
  </si>
  <si>
    <t>14524145729</t>
  </si>
  <si>
    <t>14624773721</t>
  </si>
  <si>
    <t>16175439775</t>
  </si>
  <si>
    <t>25663975896</t>
  </si>
  <si>
    <t>30701821787</t>
  </si>
  <si>
    <t>31779108800</t>
  </si>
  <si>
    <t>44134282691</t>
  </si>
  <si>
    <t>46178325134</t>
  </si>
  <si>
    <t>49006843768</t>
  </si>
  <si>
    <t>50443631700</t>
  </si>
  <si>
    <t>64475867720</t>
  </si>
  <si>
    <t>67317529753</t>
  </si>
  <si>
    <t>72286717753</t>
  </si>
  <si>
    <t>76414019372</t>
  </si>
  <si>
    <t>77399820759</t>
  </si>
  <si>
    <t>78522471720</t>
  </si>
  <si>
    <t>81392524768</t>
  </si>
  <si>
    <t>81756607753</t>
  </si>
  <si>
    <t>85951609704</t>
  </si>
  <si>
    <t>86076477768</t>
  </si>
  <si>
    <t>86704702687</t>
  </si>
  <si>
    <t>87506440768</t>
  </si>
  <si>
    <t>96080558572</t>
  </si>
  <si>
    <t>96330546720</t>
  </si>
  <si>
    <t>97503274700</t>
  </si>
  <si>
    <t>99275180725</t>
  </si>
  <si>
    <t>113110500</t>
  </si>
  <si>
    <t>'= ADIANTAMENTO A PRESTADORES DE SERVICOS</t>
  </si>
  <si>
    <t>00000000000191</t>
  </si>
  <si>
    <t>02016558000190</t>
  </si>
  <si>
    <t>04254554000176</t>
  </si>
  <si>
    <t>08237411000107</t>
  </si>
  <si>
    <t>08783191000117</t>
  </si>
  <si>
    <t>27830827000189</t>
  </si>
  <si>
    <t>28383198000159</t>
  </si>
  <si>
    <t>32185480000875</t>
  </si>
  <si>
    <t>33345683000178</t>
  </si>
  <si>
    <t>44140855000193</t>
  </si>
  <si>
    <t>60444437000146</t>
  </si>
  <si>
    <t>60633674000155</t>
  </si>
  <si>
    <t>61074175000138</t>
  </si>
  <si>
    <t>65494742000166</t>
  </si>
  <si>
    <t>CL0011111</t>
  </si>
  <si>
    <t>'= ADIANTAMENTOS A FORNECEDORES</t>
  </si>
  <si>
    <t>03386326000600</t>
  </si>
  <si>
    <t>10573521000191</t>
  </si>
  <si>
    <t>17227422000105</t>
  </si>
  <si>
    <t>29617631000136</t>
  </si>
  <si>
    <t>66018441000129</t>
  </si>
  <si>
    <t>'= IPI A RECUPERAR/COMPENSAR</t>
  </si>
  <si>
    <t>1050000266</t>
  </si>
  <si>
    <t>'= ICMS A RECUPERAR / COMPENSAR</t>
  </si>
  <si>
    <t>'= IRRF A COMPENSAR</t>
  </si>
  <si>
    <t>'= IR E CSLL A RECUPERAR/COMPENSAR</t>
  </si>
  <si>
    <t>'= COFINS A RECUPERAR / COMPENSAR</t>
  </si>
  <si>
    <t>'= PIS/PASEP A RECUPERAR/COMPENSAR</t>
  </si>
  <si>
    <t>CRED A REC POR CESSAO DE CREDITOS PELA UNIAO</t>
  </si>
  <si>
    <t>SEM INFORMACAO</t>
  </si>
  <si>
    <t>IC2022001</t>
  </si>
  <si>
    <t>IC2022003</t>
  </si>
  <si>
    <t>IC2022004</t>
  </si>
  <si>
    <t>IC2022006</t>
  </si>
  <si>
    <t>IC2022010</t>
  </si>
  <si>
    <t>IC2022013</t>
  </si>
  <si>
    <t>IC2022014</t>
  </si>
  <si>
    <t>IC2023001</t>
  </si>
  <si>
    <t>'= PRODUTOS EM ELABORACAO</t>
  </si>
  <si>
    <t>IC2022002</t>
  </si>
  <si>
    <t>IC2022005</t>
  </si>
  <si>
    <t>IC2022007</t>
  </si>
  <si>
    <t>IC2022011</t>
  </si>
  <si>
    <t>IC2022012</t>
  </si>
  <si>
    <t>IC2022015</t>
  </si>
  <si>
    <t>IC2022016</t>
  </si>
  <si>
    <t>MATERIAS-PRIMAS - ARMAZENS PROPRIOS</t>
  </si>
  <si>
    <t>'= MATERIAIS DE CONSUMO</t>
  </si>
  <si>
    <t>03</t>
  </si>
  <si>
    <t>04</t>
  </si>
  <si>
    <t>11</t>
  </si>
  <si>
    <t>12</t>
  </si>
  <si>
    <t>16</t>
  </si>
  <si>
    <t>17</t>
  </si>
  <si>
    <t>19</t>
  </si>
  <si>
    <t>21</t>
  </si>
  <si>
    <t>22</t>
  </si>
  <si>
    <t>23</t>
  </si>
  <si>
    <t>24</t>
  </si>
  <si>
    <t>25</t>
  </si>
  <si>
    <t>26</t>
  </si>
  <si>
    <t>28</t>
  </si>
  <si>
    <t>33</t>
  </si>
  <si>
    <t>35</t>
  </si>
  <si>
    <t>42</t>
  </si>
  <si>
    <t>44</t>
  </si>
  <si>
    <t>58</t>
  </si>
  <si>
    <t>59</t>
  </si>
  <si>
    <t>99</t>
  </si>
  <si>
    <t>IMPORTACOES EM ANDAMENTO - ESTOQUES</t>
  </si>
  <si>
    <t>'= DEPOSITO/CAUCAO EFETUADO POR CONTR/CONVENCAO</t>
  </si>
  <si>
    <t>'= DEPOSITOS JUDICIAIS EFETUADOS</t>
  </si>
  <si>
    <t>PF9999930</t>
  </si>
  <si>
    <t>'= DEPOSITO EFETUADO P/INTERPOSICAO DE RECURSOS</t>
  </si>
  <si>
    <t>'= CRED A REC POR ACERTO FINAN C/SERV E EX-SERV</t>
  </si>
  <si>
    <t>FT1050103</t>
  </si>
  <si>
    <t>123110101</t>
  </si>
  <si>
    <t>APARELHOS DE MEDICAO E ORIENTACAO</t>
  </si>
  <si>
    <t>123110102</t>
  </si>
  <si>
    <t>APARELHOS E EQUIPAMENTOS DE COMUNICACAO</t>
  </si>
  <si>
    <t>123110103</t>
  </si>
  <si>
    <t>EQUIPAM/UTENSILIOS MEDICOS,ODONTO,LAB E HOSP</t>
  </si>
  <si>
    <t>123110105</t>
  </si>
  <si>
    <t>EQUIPAMENTO DE PROTECAO, SEGURANCA E SOCORRO</t>
  </si>
  <si>
    <t>123110106</t>
  </si>
  <si>
    <t>MAQUINAS E EQUIPAMENTOS INDUSTRIAIS</t>
  </si>
  <si>
    <t>123110107</t>
  </si>
  <si>
    <t>MAQUINAS E EQUIPAMENTOS ENERGETICOS</t>
  </si>
  <si>
    <t>123110125</t>
  </si>
  <si>
    <t>MAQUINAS, UTENSILIOS E EQUIPAMENTOS  DIVERSOS</t>
  </si>
  <si>
    <t>123110201</t>
  </si>
  <si>
    <t>EQUIP DE TECNOLOG DA INFOR E COMUNICACAO/TIC</t>
  </si>
  <si>
    <t>123110301</t>
  </si>
  <si>
    <t>APARELHOS E UTENSILIOS DOMESTICOS</t>
  </si>
  <si>
    <t>123110302</t>
  </si>
  <si>
    <t>MAQUINAS E UTENSILIOS DE ESCRITORIO</t>
  </si>
  <si>
    <t>123110303</t>
  </si>
  <si>
    <t>MOBILIARIO EM GERAL</t>
  </si>
  <si>
    <t>123110405</t>
  </si>
  <si>
    <t>EQUIPAMENTOS PARA AUDIO, VIDEO E FOTO</t>
  </si>
  <si>
    <t>123110503</t>
  </si>
  <si>
    <t>VEICULOS DE TRACAO MECANICA</t>
  </si>
  <si>
    <t>'= BENS MOVEIS EM ELABORACAO</t>
  </si>
  <si>
    <t>'= ESTOQUE INTERNO</t>
  </si>
  <si>
    <t>123210202</t>
  </si>
  <si>
    <t>'= EDIFICIOS</t>
  </si>
  <si>
    <t>999</t>
  </si>
  <si>
    <t>IM2011001</t>
  </si>
  <si>
    <t>IM2011003</t>
  </si>
  <si>
    <t>IM2011005</t>
  </si>
  <si>
    <t>PJ7020220</t>
  </si>
  <si>
    <t>123210203</t>
  </si>
  <si>
    <t>'= TERRENOS/GLEBAS</t>
  </si>
  <si>
    <t>'= OBRAS EM ANDAMENTO</t>
  </si>
  <si>
    <t>IM22CS042</t>
  </si>
  <si>
    <t>123210700</t>
  </si>
  <si>
    <t>'= INSTALACOES</t>
  </si>
  <si>
    <t>IM2010403</t>
  </si>
  <si>
    <t>IM2013403</t>
  </si>
  <si>
    <t>* = DEPRECIACAO ACUMULADA - BENS MOVEIS</t>
  </si>
  <si>
    <t>* = DEPRECIACAO ACUMULADA - BENS IMOVEIS</t>
  </si>
  <si>
    <t>* = REDUCAO AO VALOR RECUP DE IMOBILIZADO-MOVEIS</t>
  </si>
  <si>
    <t>* = REDUCAO AO VALOR RECUP DE IMOBILIZADO-IMOVEIS</t>
  </si>
  <si>
    <t>124110101</t>
  </si>
  <si>
    <t>'= SOFTWARES</t>
  </si>
  <si>
    <t>IS105CB20</t>
  </si>
  <si>
    <t>ISCOMMVAU</t>
  </si>
  <si>
    <t>ISSQL5514</t>
  </si>
  <si>
    <t>'= ADIANTAMENTOS P/ TRANSFERENCIA DE TECNOLOGIA</t>
  </si>
  <si>
    <t>IS1241001</t>
  </si>
  <si>
    <t>ISCS01126</t>
  </si>
  <si>
    <t>* = AMORTIZACAO ACUMULADA - CONTAS 1241101XX</t>
  </si>
  <si>
    <t>'= SALARIOS, REMUNERACOES E BENEFICIOS</t>
  </si>
  <si>
    <t>1000000000</t>
  </si>
  <si>
    <t>DECIMO TERCEIRO SALARIO A PAGAR</t>
  </si>
  <si>
    <t>FERIAS A PAGAR</t>
  </si>
  <si>
    <t>'= CONTRIBUICAO A ENTIDADES DE PREVIDEN. PRIVADA</t>
  </si>
  <si>
    <t>100000000030022727000130</t>
  </si>
  <si>
    <t>1000000000PF9999905</t>
  </si>
  <si>
    <t>'= FGTS</t>
  </si>
  <si>
    <t>1000000000PF9999906</t>
  </si>
  <si>
    <t>113208</t>
  </si>
  <si>
    <t>PDENC0001</t>
  </si>
  <si>
    <t>PDENC0002</t>
  </si>
  <si>
    <t>'= ENCARGOS SOCIAIS - CONVENIO DE ARRECAD DIRETA</t>
  </si>
  <si>
    <t>'= CONTAS A PAGAR CREDORES NACIONAIS</t>
  </si>
  <si>
    <t>01117975000167</t>
  </si>
  <si>
    <t>03279285000130</t>
  </si>
  <si>
    <t>100000000000000000000191</t>
  </si>
  <si>
    <t>100000000000331788000623</t>
  </si>
  <si>
    <t>100000000000568594000808</t>
  </si>
  <si>
    <t>100000000000604122000197</t>
  </si>
  <si>
    <t>100000000000908234000131</t>
  </si>
  <si>
    <t>100000000001117975000167</t>
  </si>
  <si>
    <t>100000000001762710000111</t>
  </si>
  <si>
    <t>100000000002016558000190</t>
  </si>
  <si>
    <t>100000000002288055000174</t>
  </si>
  <si>
    <t>100000000002421421000111</t>
  </si>
  <si>
    <t>100000000003117534000190</t>
  </si>
  <si>
    <t>100000000003237583006440</t>
  </si>
  <si>
    <t>100000000003279285000130</t>
  </si>
  <si>
    <t>100000000003958504000107</t>
  </si>
  <si>
    <t>100000000004565030000104</t>
  </si>
  <si>
    <t>100000000004931019000293</t>
  </si>
  <si>
    <t>100000000005295679000107</t>
  </si>
  <si>
    <t>100000000005340639000130</t>
  </si>
  <si>
    <t>100000000007028841000156</t>
  </si>
  <si>
    <t>100000000007067496000402</t>
  </si>
  <si>
    <t>100000000007465373000187</t>
  </si>
  <si>
    <t>100000000008100057000174</t>
  </si>
  <si>
    <t>100000000008689801000118</t>
  </si>
  <si>
    <t>100000000009471199000100</t>
  </si>
  <si>
    <t>100000000009632388000118</t>
  </si>
  <si>
    <t>100000000011319574000143</t>
  </si>
  <si>
    <t>100000000011394929000169</t>
  </si>
  <si>
    <t>100000000011395635000151</t>
  </si>
  <si>
    <t>100000000011699534000174</t>
  </si>
  <si>
    <t>100000000011880336000102</t>
  </si>
  <si>
    <t>100000000012788962000136</t>
  </si>
  <si>
    <t>100000000013830495000128</t>
  </si>
  <si>
    <t>100000000014108596000152</t>
  </si>
  <si>
    <t>100000000014950590000128</t>
  </si>
  <si>
    <t>100000000016727386000178</t>
  </si>
  <si>
    <t>100000000018631695000175</t>
  </si>
  <si>
    <t>100000000019011825000130</t>
  </si>
  <si>
    <t>100000000021948551000151</t>
  </si>
  <si>
    <t>100000000021993683000103</t>
  </si>
  <si>
    <t>100000000023886982000166</t>
  </si>
  <si>
    <t>100000000027830827000189</t>
  </si>
  <si>
    <t>100000000027907518000160</t>
  </si>
  <si>
    <t>100000000028383198000159</t>
  </si>
  <si>
    <t>100000000028703478000105</t>
  </si>
  <si>
    <t>100000000031888692000180</t>
  </si>
  <si>
    <t>100000000032125858000179</t>
  </si>
  <si>
    <t>100000000033337007000152</t>
  </si>
  <si>
    <t>100000000033449007000144</t>
  </si>
  <si>
    <t>100000000033575585000127</t>
  </si>
  <si>
    <t>100000000034028316000294</t>
  </si>
  <si>
    <t>100000000035717282000127</t>
  </si>
  <si>
    <t>100000000036241685000105</t>
  </si>
  <si>
    <t>100000000038503861000165</t>
  </si>
  <si>
    <t>100000000039162235000115</t>
  </si>
  <si>
    <t>100000000040263170000850</t>
  </si>
  <si>
    <t>100000000042292007000174</t>
  </si>
  <si>
    <t>100000000043197792000220</t>
  </si>
  <si>
    <t>100000000043843358000512</t>
  </si>
  <si>
    <t>100000000046390209000100</t>
  </si>
  <si>
    <t>100000000051733129000140</t>
  </si>
  <si>
    <t>100000000055616429000108</t>
  </si>
  <si>
    <t>100000000057055352000161</t>
  </si>
  <si>
    <t>100000000059618207000177</t>
  </si>
  <si>
    <t>100000000060010287000162</t>
  </si>
  <si>
    <t>100000000060444437000146</t>
  </si>
  <si>
    <t>100000000060633674000155</t>
  </si>
  <si>
    <t>100000000068976844000106</t>
  </si>
  <si>
    <t>100000000069275337000108</t>
  </si>
  <si>
    <t>100000000071208516000174</t>
  </si>
  <si>
    <t>100000000072368012000184</t>
  </si>
  <si>
    <t>100000000073193211000161</t>
  </si>
  <si>
    <t>100000000093969707000191</t>
  </si>
  <si>
    <t>1000000000PF9999901</t>
  </si>
  <si>
    <t>1000000000PF9999902</t>
  </si>
  <si>
    <t>1000000000PF9999930</t>
  </si>
  <si>
    <t>105000026600185997000100</t>
  </si>
  <si>
    <t>105000026601082331000180</t>
  </si>
  <si>
    <t>105000026601117975000167</t>
  </si>
  <si>
    <t>105000026602182621000169</t>
  </si>
  <si>
    <t>105000026603279285000130</t>
  </si>
  <si>
    <t>105000026603532163000294</t>
  </si>
  <si>
    <t>105000026603750757000190</t>
  </si>
  <si>
    <t>105000026603773700008353</t>
  </si>
  <si>
    <t>105000026605922013000131</t>
  </si>
  <si>
    <t>105000026605925426000170</t>
  </si>
  <si>
    <t>105000026608101451000127</t>
  </si>
  <si>
    <t>105000026611114572000118</t>
  </si>
  <si>
    <t>105000026611117193000181</t>
  </si>
  <si>
    <t>105000026611903685000100</t>
  </si>
  <si>
    <t>105000026617474484000103</t>
  </si>
  <si>
    <t>105000026617643102000128</t>
  </si>
  <si>
    <t>105000026630026710000151</t>
  </si>
  <si>
    <t>105000026631563034000118</t>
  </si>
  <si>
    <t>105000026631978612000187</t>
  </si>
  <si>
    <t>105000026638503861000165</t>
  </si>
  <si>
    <t>105000026644386134000168</t>
  </si>
  <si>
    <t>105000026646390209000100</t>
  </si>
  <si>
    <t>105000026652640646000137</t>
  </si>
  <si>
    <t>105000026655616429000108</t>
  </si>
  <si>
    <t>105000026659618207000177</t>
  </si>
  <si>
    <t>105000026660444437000146</t>
  </si>
  <si>
    <t>105000026660452752000115</t>
  </si>
  <si>
    <t>105000026661793691000112</t>
  </si>
  <si>
    <t>105000026662458088002867</t>
  </si>
  <si>
    <t>105000026662877808000109</t>
  </si>
  <si>
    <t>105000026666018441000129</t>
  </si>
  <si>
    <t>105000026669275337000108</t>
  </si>
  <si>
    <t>13830495000128</t>
  </si>
  <si>
    <t>32125858000179</t>
  </si>
  <si>
    <t>40282584000150</t>
  </si>
  <si>
    <t>62458088002867</t>
  </si>
  <si>
    <t>69275337000108</t>
  </si>
  <si>
    <t>'= IRPJ A RECOLHER</t>
  </si>
  <si>
    <t>3050000266</t>
  </si>
  <si>
    <t>'= CSSL A RECOLHER</t>
  </si>
  <si>
    <t>'= TAXA DE FISCALIZACAO OU DE PODER DE POLICIA</t>
  </si>
  <si>
    <t>'= IPTU/TLP A RECOLHER</t>
  </si>
  <si>
    <t>'= TRANSF LEGAIS A PAGAR - CONSOLIDACAO</t>
  </si>
  <si>
    <t>100000000028015170000169</t>
  </si>
  <si>
    <t>'= ADIANTAMENTOS DE CLIENTES - CONSOLIDACAO</t>
  </si>
  <si>
    <t>710300</t>
  </si>
  <si>
    <t>'= RETENCAO PREVIDENCIARIA - FRGPS</t>
  </si>
  <si>
    <t>3000000000</t>
  </si>
  <si>
    <t>'= IRRF DEVIDO AO TESOURO NACIONAL</t>
  </si>
  <si>
    <t>'= IMPOSTOS E CONTRIB DIVERSOS DEVIDOS AO TESOUR</t>
  </si>
  <si>
    <t>'= ICMS</t>
  </si>
  <si>
    <t>'= ISS</t>
  </si>
  <si>
    <t>'= PENSAO ALIMENTICIA</t>
  </si>
  <si>
    <t>100000000007825531680</t>
  </si>
  <si>
    <t>'= RETENCOES-ENTIDADES REPRESENTATIVAS DE CLASSE</t>
  </si>
  <si>
    <t>100000000027216340000100</t>
  </si>
  <si>
    <t>'= RETENCOES - SINDICATOS</t>
  </si>
  <si>
    <t>100000000033739699000165</t>
  </si>
  <si>
    <t>'= RETENCOES - PLANOS DE SEGUROS</t>
  </si>
  <si>
    <t>'= RETENCOES - EMPRESTIMOS E FINANCIAMENTOS</t>
  </si>
  <si>
    <t>1000000000RB0038166</t>
  </si>
  <si>
    <t>'= SERVICOS DE PROCESSAMENTO DE DADOS</t>
  </si>
  <si>
    <t>'= DEPOSITOS RETIDOS DE FORNECEDORES</t>
  </si>
  <si>
    <t>100000000010421996000162</t>
  </si>
  <si>
    <t>100100000014950590000128</t>
  </si>
  <si>
    <t>105000026607451929000186</t>
  </si>
  <si>
    <t>105000026610213136000133</t>
  </si>
  <si>
    <t>105000026611451053000145</t>
  </si>
  <si>
    <t>105000026614950590000128</t>
  </si>
  <si>
    <t>100000000007788307726</t>
  </si>
  <si>
    <t>'= DEPOSITOS A EFETUAR POR DETERMINACAO JUDICIAL</t>
  </si>
  <si>
    <t>'= DEPOSITOS A EFETUAR PARA RECURSOS JUDICIAIS</t>
  </si>
  <si>
    <t>'= DEPOSITOS POR DEVOLUCAO DE VALORES NAO RECLAM</t>
  </si>
  <si>
    <t>'= INDENIZACOES, RESTITUICOES E COMPENSACOES</t>
  </si>
  <si>
    <t>'= DIARIAS A PAGAR</t>
  </si>
  <si>
    <t>100000000000085062723</t>
  </si>
  <si>
    <t>100000000000345967712</t>
  </si>
  <si>
    <t>100000000001406066702</t>
  </si>
  <si>
    <t>100000000001455185744</t>
  </si>
  <si>
    <t>100000000001851133704</t>
  </si>
  <si>
    <t>100000000002051085714</t>
  </si>
  <si>
    <t>100000000002155157738</t>
  </si>
  <si>
    <t>100000000003248614781</t>
  </si>
  <si>
    <t>100000000003318464708</t>
  </si>
  <si>
    <t>100000000003595051718</t>
  </si>
  <si>
    <t>100000000005282052776</t>
  </si>
  <si>
    <t>100000000005361046701</t>
  </si>
  <si>
    <t>100000000005492202758</t>
  </si>
  <si>
    <t>100000000005645709748</t>
  </si>
  <si>
    <t>100000000005678774778</t>
  </si>
  <si>
    <t>100000000007454288782</t>
  </si>
  <si>
    <t>100000000007552841788</t>
  </si>
  <si>
    <t>100000000007712093717</t>
  </si>
  <si>
    <t>100000000007808975796</t>
  </si>
  <si>
    <t>100000000007844342714</t>
  </si>
  <si>
    <t>100000000007887245761</t>
  </si>
  <si>
    <t>100000000008034666769</t>
  </si>
  <si>
    <t>100000000008389037700</t>
  </si>
  <si>
    <t>100000000008471275759</t>
  </si>
  <si>
    <t>100000000008687718721</t>
  </si>
  <si>
    <t>100000000008741297709</t>
  </si>
  <si>
    <t>100000000009175552795</t>
  </si>
  <si>
    <t>100000000009233861732</t>
  </si>
  <si>
    <t>100000000009409138795</t>
  </si>
  <si>
    <t>100000000009537610705</t>
  </si>
  <si>
    <t>100000000009625244760</t>
  </si>
  <si>
    <t>100000000009715087710</t>
  </si>
  <si>
    <t>100000000009860243760</t>
  </si>
  <si>
    <t>100000000010104989750</t>
  </si>
  <si>
    <t>100000000010678049785</t>
  </si>
  <si>
    <t>100000000010748275703</t>
  </si>
  <si>
    <t>100000000010946153744</t>
  </si>
  <si>
    <t>100000000011103375741</t>
  </si>
  <si>
    <t>100000000011103390708</t>
  </si>
  <si>
    <t>100000000011106048741</t>
  </si>
  <si>
    <t>100000000011621224716</t>
  </si>
  <si>
    <t>100000000011882656792</t>
  </si>
  <si>
    <t>100000000011888471719</t>
  </si>
  <si>
    <t>100000000011930765797</t>
  </si>
  <si>
    <t>100000000012010504720</t>
  </si>
  <si>
    <t>100000000012116849705</t>
  </si>
  <si>
    <t>100000000012153142725</t>
  </si>
  <si>
    <t>100000000012178480705</t>
  </si>
  <si>
    <t>100000000012360509756</t>
  </si>
  <si>
    <t>100000000012416679775</t>
  </si>
  <si>
    <t>100000000012530156786</t>
  </si>
  <si>
    <t>100000000012609177704</t>
  </si>
  <si>
    <t>100000000012952461716</t>
  </si>
  <si>
    <t>100000000013045670792</t>
  </si>
  <si>
    <t>100000000013333191776</t>
  </si>
  <si>
    <t>100000000013480920764</t>
  </si>
  <si>
    <t>100000000013497946788</t>
  </si>
  <si>
    <t>100000000013533250750</t>
  </si>
  <si>
    <t>100000000013668542767</t>
  </si>
  <si>
    <t>100000000013874852709</t>
  </si>
  <si>
    <t>100000000013900181721</t>
  </si>
  <si>
    <t>100000000013986385797</t>
  </si>
  <si>
    <t>100000000014026860728</t>
  </si>
  <si>
    <t>100000000014061197762</t>
  </si>
  <si>
    <t>100000000014075506754</t>
  </si>
  <si>
    <t>100000000014134212707</t>
  </si>
  <si>
    <t>100000000014445540773</t>
  </si>
  <si>
    <t>100000000014449976703</t>
  </si>
  <si>
    <t>100000000014455754776</t>
  </si>
  <si>
    <t>100000000014461291790</t>
  </si>
  <si>
    <t>100000000014515368796</t>
  </si>
  <si>
    <t>100000000014624773721</t>
  </si>
  <si>
    <t>100000000064475867720</t>
  </si>
  <si>
    <t>100000000078522471720</t>
  </si>
  <si>
    <t>'= SUPRIMENTOS DE FUNDOS A PAGAR</t>
  </si>
  <si>
    <t>'= SUBVENCOES E DOACOES PARA INVESTIMENTOS</t>
  </si>
  <si>
    <t>FTATC2019</t>
  </si>
  <si>
    <t>'= ORDENS BANCARIAS CANCELADAS</t>
  </si>
  <si>
    <t>'= CONTRIBUICAO A ENTIDADES DE PREVIDEN. COMPLEM</t>
  </si>
  <si>
    <t>113206</t>
  </si>
  <si>
    <t>'= PROVISAO PARA INDENIZACOES TRABALHISTAS</t>
  </si>
  <si>
    <t>'= PROVISAO PARA INDENIZACOES CIVEIS</t>
  </si>
  <si>
    <t>FTMAR2015</t>
  </si>
  <si>
    <t>PA2019DEZ</t>
  </si>
  <si>
    <t>CAPITAL SOCIAL SUBSCRITO - INTRA OFSS</t>
  </si>
  <si>
    <t>* CAPITAL SOCIAL A REALIZAR - INTRA OFSS</t>
  </si>
  <si>
    <t>ADIANTAMENTO PARA FUTURO AUMENTO DE CAPITAL</t>
  </si>
  <si>
    <t>'= AJUSTES DE AVALIACAO PATRIMONIAL DE ATIVOS</t>
  </si>
  <si>
    <t>'= REAVALIACAO DE BENS IMOVEIS</t>
  </si>
  <si>
    <t>123210298</t>
  </si>
  <si>
    <t>LUCROS E PREJUIZOS ACUMULADOS DE EXERC ANTERI</t>
  </si>
  <si>
    <t>AJUSTES DE EXERCICIOS ANTERIORES</t>
  </si>
  <si>
    <t>VENCIMENTOS E SALARIOS</t>
  </si>
  <si>
    <t>ADICIONAIS</t>
  </si>
  <si>
    <t>GRATIFICACOES</t>
  </si>
  <si>
    <t>FERIAS - RGPS</t>
  </si>
  <si>
    <t>13. SALARIO - RGPS</t>
  </si>
  <si>
    <t>CONTRIBUICOES PREVIDENCIARIAS - INSS</t>
  </si>
  <si>
    <t>FGTS</t>
  </si>
  <si>
    <t>SESI/SENAI/SESC/SENAC/SEBRAE - ATIVO CIVIL</t>
  </si>
  <si>
    <t>COMPLEMENTACAO DE PREVIDENCIA</t>
  </si>
  <si>
    <t>AUXILIO ALIMENTACAO</t>
  </si>
  <si>
    <t>AUXILIO CRECHE</t>
  </si>
  <si>
    <t>INDENIZACOES E RESTITUICOES TRABALHISTAS</t>
  </si>
  <si>
    <t>CONSUMO DE MATERIAIS ESTOCADOS - ALMOXARIFADO</t>
  </si>
  <si>
    <t>CONSUMO DE MATERIAL DE PROCESSAMENTO DE DADOS</t>
  </si>
  <si>
    <t>CONSUMO DE MATERIAL HOSPITALAR</t>
  </si>
  <si>
    <t>SERVICOS TECNICOS PROFISSIONAIS - PF</t>
  </si>
  <si>
    <t>SERVICOS ASSISTENCIAIS - PF</t>
  </si>
  <si>
    <t>SERVICOS TECNICOS PROFISSIONAIS</t>
  </si>
  <si>
    <t>SERVICOS DE APOIO ADM, TECNICO E OPERACIONAL</t>
  </si>
  <si>
    <t>SERVICOS COMUNICACAO, GRAFICO E AUDIOVISUAL</t>
  </si>
  <si>
    <t>SERV.TRANSP.,PASSAGEM,LOCOMOCAO E HOSPED.-PJ</t>
  </si>
  <si>
    <t>SERVICOS ADMINISTRATIVOS - PJ</t>
  </si>
  <si>
    <t>SERVICOS ASSISTENCIAIS - PJ</t>
  </si>
  <si>
    <t>SERV.AGUA E ESGOTO,ENER.ELETR.,GAS E OUTR.-PJ</t>
  </si>
  <si>
    <t>LOCACAO E ARRENDAMENTO MERCANTIL OPERACIONAL</t>
  </si>
  <si>
    <t>FORNECIMENTO DE ALIMENTACAO</t>
  </si>
  <si>
    <t>SEGUROS EM GERAL</t>
  </si>
  <si>
    <t>SERVICOS PRESTADOS DIVERSOS - PJ</t>
  </si>
  <si>
    <t>DEPRECIACAO DE BENS MOVEIS</t>
  </si>
  <si>
    <t>DEPRECIACAO DE BENS IMOVEIS</t>
  </si>
  <si>
    <t>AMORTIZACAO DE INTANGIVEL</t>
  </si>
  <si>
    <t>JUROS DE MORA</t>
  </si>
  <si>
    <t>MULTAS DEDUTIVEIS</t>
  </si>
  <si>
    <t>ENCARGOS DE MORA</t>
  </si>
  <si>
    <t>OUTRAS TRANSFERENCIAS</t>
  </si>
  <si>
    <t>INCORPORACAO DE PASSIVOS</t>
  </si>
  <si>
    <t>DESINCORPORACAO DE ATIVOS</t>
  </si>
  <si>
    <t>IMPOSTO S/ PROPRIEDADE DE VEICULOS AUTOMOTORE</t>
  </si>
  <si>
    <t>OUTROS IMPOSTOS</t>
  </si>
  <si>
    <t>TAXAS</t>
  </si>
  <si>
    <t>VPD DE PROV. P/ RISCOS TRABALHISTAS</t>
  </si>
  <si>
    <t>INDENIZACOES</t>
  </si>
  <si>
    <t>VPD DECORRENTE DE FATOS GERADORES DIVERSOS</t>
  </si>
  <si>
    <t>VENDA BRUTA DE PRODUTOS</t>
  </si>
  <si>
    <t>* ICMS</t>
  </si>
  <si>
    <t>VALOR BRUTO EXPLORACAO BENS, DIR E SERVICOS</t>
  </si>
  <si>
    <t>* PIS/PASEP</t>
  </si>
  <si>
    <t>* COFINS</t>
  </si>
  <si>
    <t>ATUALIZACAO MONETARIA POSITIVA/DEMAIS ATIVOS</t>
  </si>
  <si>
    <t>'= REPASSE RECEBIDO</t>
  </si>
  <si>
    <t>'= TRANSFERENCIAS RECEBIDAS PARA PGTO DE RP</t>
  </si>
  <si>
    <t>MOVIMENTACOES DE SALDOS PATRIMONIAIS</t>
  </si>
  <si>
    <t>GANHOS COM INCORPORACAO DE ATIVOS POR DESCOBE</t>
  </si>
  <si>
    <t>OUTROS GANHOS COM INCORPORACAO DE ATIVO</t>
  </si>
  <si>
    <t>GANHOS COM DESINCORPORACAO DE PASSIVOS</t>
  </si>
  <si>
    <t>REVERSAO DE AJUSTES DE PERDAS</t>
  </si>
  <si>
    <t>RESTITUICOES</t>
  </si>
  <si>
    <t>VPA DECORRENTE DE FATORES GERADORES DIVERSOS</t>
  </si>
  <si>
    <t>Concatenar</t>
  </si>
  <si>
    <t>Demonstrações - sintética</t>
  </si>
  <si>
    <t>Demonstrações - analítica</t>
  </si>
  <si>
    <t>111110100'= CAIXA105000026600000000000191</t>
  </si>
  <si>
    <t>Disponível</t>
  </si>
  <si>
    <t>1.1.1.1 Ativo Circulante - Disponível: Caixa</t>
  </si>
  <si>
    <t>111122001'= LIMITE DE SAQUE COM VINCULACAO DE PGTO - OFSS1000000000130</t>
  </si>
  <si>
    <t>1.1.1.2 Ativo Circulante - Disponível: Conta Única Vinculação de Pagto</t>
  </si>
  <si>
    <t>111122001'= LIMITE DE SAQUE COM VINCULACAO DE PGTO - OFSS1000000000141</t>
  </si>
  <si>
    <t>111122001'= LIMITE DE SAQUE COM VINCULACAO DE PGTO - OFSS1000000000307</t>
  </si>
  <si>
    <t>111122001'= LIMITE DE SAQUE COM VINCULACAO DE PGTO - OFSS1000000000308</t>
  </si>
  <si>
    <t>111122001'= LIMITE DE SAQUE COM VINCULACAO DE PGTO - OFSS1000000000309</t>
  </si>
  <si>
    <t>111122001'= LIMITE DE SAQUE COM VINCULACAO DE PGTO - OFSS1000000000310</t>
  </si>
  <si>
    <t>111122001'= LIMITE DE SAQUE COM VINCULACAO DE PGTO - OFSS1000000000340</t>
  </si>
  <si>
    <t>111122001'= LIMITE DE SAQUE COM VINCULACAO DE PGTO - OFSS1000000000400</t>
  </si>
  <si>
    <t>111122001'= LIMITE DE SAQUE COM VINCULACAO DE PGTO - OFSS1000000000510</t>
  </si>
  <si>
    <t>111122001'= LIMITE DE SAQUE COM VINCULACAO DE PGTO - OFSS1050000266400</t>
  </si>
  <si>
    <t>111122001'= LIMITE DE SAQUE COM VINCULACAO DE PGTO - OFSS1050000266500</t>
  </si>
  <si>
    <t>111122001'= LIMITE DE SAQUE COM VINCULACAO DE PGTO - OFSS1444000000400</t>
  </si>
  <si>
    <t>111122001'= LIMITE DE SAQUE COM VINCULACAO DE PGTO - OFSS1491000000987</t>
  </si>
  <si>
    <t>111122001'= LIMITE DE SAQUE COM VINCULACAO DE PGTO - OFSS1491000000990</t>
  </si>
  <si>
    <t>111122001'= LIMITE DE SAQUE COM VINCULACAO DE PGTO - OFSS1491980000990</t>
  </si>
  <si>
    <t>111122001'= LIMITE DE SAQUE COM VINCULACAO DE PGTO - OFSS3000000000400</t>
  </si>
  <si>
    <t>111122001'= LIMITE DE SAQUE COM VINCULACAO DE PGTO - OFSS3050000266400</t>
  </si>
  <si>
    <t>111122005'= LIM DE SAQUE C/VINC.PAGTO-PAGTO INST - OFSS1000000000400</t>
  </si>
  <si>
    <t>1.1.1.3 Ativo Circulante - Disponível: Conta Única Demais</t>
  </si>
  <si>
    <t>111122005'= LIM DE SAQUE C/VINC.PAGTO-PAGTO INST - OFSS1000000000510</t>
  </si>
  <si>
    <t>111122005'= LIM DE SAQUE C/VINC.PAGTO-PAGTO INST - OFSS1050000266400</t>
  </si>
  <si>
    <t>111122005'= LIM DE SAQUE C/VINC.PAGTO-PAGTO INST - OFSS3000000000400</t>
  </si>
  <si>
    <t>111122005'= LIM DE SAQUE C/VINC.PAGTO-PAGTO INST - OFSS3050000266400</t>
  </si>
  <si>
    <t>111122006'= LIM DE SAQUE C/VINC.PAGTO- OP/PI - OFSS1000000000400</t>
  </si>
  <si>
    <t>111122006'= LIM DE SAQUE C/VINC.PAGTO- OP/PI - OFSS1000000000510</t>
  </si>
  <si>
    <t>111122006'= LIM DE SAQUE C/VINC.PAGTO- OP/PI - OFSS1050000266400</t>
  </si>
  <si>
    <t>111122006'= LIM DE SAQUE C/VINC.PAGTO- OP/PI - OFSS3000000000400</t>
  </si>
  <si>
    <t>111122006'= LIM DE SAQUE C/VINC.PAGTO- OP/PI - OFSS3050000266400</t>
  </si>
  <si>
    <t>111122003'= LIM DE SAQUE C/VINC.PAGTO- ORDEM PAGTO - OFSS1000000000130</t>
  </si>
  <si>
    <t>1.1.1.2 Ativo Circulante - Disponível: Conta Única Ordem de Pagto</t>
  </si>
  <si>
    <t>111122003'= LIM DE SAQUE C/VINC.PAGTO- ORDEM PAGTO - OFSS1000000000141</t>
  </si>
  <si>
    <t>111122003'= LIM DE SAQUE C/VINC.PAGTO- ORDEM PAGTO - OFSS1000000000307</t>
  </si>
  <si>
    <t>111122003'= LIM DE SAQUE C/VINC.PAGTO- ORDEM PAGTO - OFSS1000000000308</t>
  </si>
  <si>
    <t>111122003'= LIM DE SAQUE C/VINC.PAGTO- ORDEM PAGTO - OFSS1000000000309</t>
  </si>
  <si>
    <t>111122003'= LIM DE SAQUE C/VINC.PAGTO- ORDEM PAGTO - OFSS1000000000310</t>
  </si>
  <si>
    <t>111122003'= LIM DE SAQUE C/VINC.PAGTO- ORDEM PAGTO - OFSS1000000000340</t>
  </si>
  <si>
    <t>111122003'= LIM DE SAQUE C/VINC.PAGTO- ORDEM PAGTO - OFSS1000000000400</t>
  </si>
  <si>
    <t>111122003'= LIM DE SAQUE C/VINC.PAGTO- ORDEM PAGTO - OFSS1000000000510</t>
  </si>
  <si>
    <t>111122003'= LIM DE SAQUE C/VINC.PAGTO- ORDEM PAGTO - OFSS1050000266400</t>
  </si>
  <si>
    <t>111122003'= LIM DE SAQUE C/VINC.PAGTO- ORDEM PAGTO - OFSS1050000266500</t>
  </si>
  <si>
    <t>111122003'= LIM DE SAQUE C/VINC.PAGTO- ORDEM PAGTO - OFSS1444000000400</t>
  </si>
  <si>
    <t>111122003'= LIM DE SAQUE C/VINC.PAGTO- ORDEM PAGTO - OFSS1491000000990</t>
  </si>
  <si>
    <t>111122003'= LIM DE SAQUE C/VINC.PAGTO- ORDEM PAGTO - OFSS1491980000990</t>
  </si>
  <si>
    <t>111122003'= LIM DE SAQUE C/VINC.PAGTO- ORDEM PAGTO - OFSS3000000000400</t>
  </si>
  <si>
    <t>111122003'= LIM DE SAQUE C/VINC.PAGTO- ORDEM PAGTO - OFSS3050000266400</t>
  </si>
  <si>
    <t>112210103'= FATURAS/DUPL A REC - ESTOQUES PROPRIOS01541664000120</t>
  </si>
  <si>
    <t>Contas a Receber</t>
  </si>
  <si>
    <t>1.1.2.1 Ativo Circulante - Contas a Receber - Produtos</t>
  </si>
  <si>
    <t>112210103'= FATURAS/DUPL A REC - ESTOQUES PROPRIOS03669753000182</t>
  </si>
  <si>
    <t>112210103'= FATURAS/DUPL A REC - ESTOQUES PROPRIOS03945240000319</t>
  </si>
  <si>
    <t>112210103'= FATURAS/DUPL A REC - ESTOQUES PROPRIOS05436017000100</t>
  </si>
  <si>
    <t>112210103'= FATURAS/DUPL A REC - ESTOQUES PROPRIOS28439014000125</t>
  </si>
  <si>
    <t>112210103'= FATURAS/DUPL A REC - ESTOQUES PROPRIOS33000167010255</t>
  </si>
  <si>
    <t>112210103'= FATURAS/DUPL A REC - ESTOQUES PROPRIOS33220880000837</t>
  </si>
  <si>
    <t>112210103'= FATURAS/DUPL A REC - ESTOQUES PROPRIOS33247271001177</t>
  </si>
  <si>
    <t>112210103'= FATURAS/DUPL A REC - ESTOQUES PROPRIOS37513014000119</t>
  </si>
  <si>
    <t>112210103'= FATURAS/DUPL A REC - ESTOQUES PROPRIOS40321754000168</t>
  </si>
  <si>
    <t>112210103'= FATURAS/DUPL A REC - ESTOQUES PROPRIOS42540211000248</t>
  </si>
  <si>
    <t>112210103'= FATURAS/DUPL A REC - ESTOQUES PROPRIOS46004538000175</t>
  </si>
  <si>
    <t>112210103'= FATURAS/DUPL A REC - ESTOQUES PROPRIOS791500</t>
  </si>
  <si>
    <t>112210106'= FATURAS/DUPL A REC - PRESTACAO DE SERVICOS00322818002093</t>
  </si>
  <si>
    <t>1.1.2.2 Ativo Circulante - Contas a Receber - Serviços</t>
  </si>
  <si>
    <t>112210106'= FATURAS/DUPL A REC - PRESTACAO DE SERVICOS02154943001176</t>
  </si>
  <si>
    <t>112210106'= FATURAS/DUPL A REC - PRESTACAO DE SERVICOS02381910000197</t>
  </si>
  <si>
    <t>112210106'= FATURAS/DUPL A REC - PRESTACAO DE SERVICOS03669753000182</t>
  </si>
  <si>
    <t>112210106'= FATURAS/DUPL A REC - PRESTACAO DE SERVICOS03945240000157</t>
  </si>
  <si>
    <t>112210106'= FATURAS/DUPL A REC - PRESTACAO DE SERVICOS04181506000103</t>
  </si>
  <si>
    <t>112210106'= FATURAS/DUPL A REC - PRESTACAO DE SERVICOS08411918000135</t>
  </si>
  <si>
    <t>112210106'= FATURAS/DUPL A REC - PRESTACAO DE SERVICOS10580217000171</t>
  </si>
  <si>
    <t>112210106'= FATURAS/DUPL A REC - PRESTACAO DE SERVICOS28439014000125</t>
  </si>
  <si>
    <t>112210106'= FATURAS/DUPL A REC - PRESTACAO DE SERVICOS33039223000111</t>
  </si>
  <si>
    <t>112210106'= FATURAS/DUPL A REC - PRESTACAO DE SERVICOS33220880000160</t>
  </si>
  <si>
    <t>112210106'= FATURAS/DUPL A REC - PRESTACAO DE SERVICOS33247271000103</t>
  </si>
  <si>
    <t>112210106'= FATURAS/DUPL A REC - PRESTACAO DE SERVICOS37513014000119</t>
  </si>
  <si>
    <t>112210106'= FATURAS/DUPL A REC - PRESTACAO DE SERVICOS42540211000167</t>
  </si>
  <si>
    <t>112210106'= FATURAS/DUPL A REC - PRESTACAO DE SERVICOS48122295002572</t>
  </si>
  <si>
    <t>112210106'= FATURAS/DUPL A REC - PRESTACAO DE SERVICOS55658090000870</t>
  </si>
  <si>
    <t>112210106'= FATURAS/DUPL A REC - PRESTACAO DE SERVICOS745000</t>
  </si>
  <si>
    <t>112910200* = AJUSTE PERDAS DE CRED LIQUIDACAO DUVIDOSA112210103</t>
  </si>
  <si>
    <t>1.1.2.3 Ativo Circulante - Contas a Receber - PCLD</t>
  </si>
  <si>
    <t>112910200* = AJUSTE PERDAS DE CRED LIQUIDACAO DUVIDOSA112210106</t>
  </si>
  <si>
    <t>113812600CRED A REC POR CESSAO DE CREDITOS PELA UNIAOSEM INFORMACAO</t>
  </si>
  <si>
    <t>1.1.2.3 Ativo Circulante - Contas a Receber - PLOA NUCLEOS</t>
  </si>
  <si>
    <t>115110101MERCADORIAS PARA VENDA OU REVENDASEM INFORMACAO</t>
  </si>
  <si>
    <t>Estoque</t>
  </si>
  <si>
    <t>1.1.3.1 Ativo Circulante - Estoques: Material de Consumo</t>
  </si>
  <si>
    <t>115510100ESTOQUES MERCADORIAS PARA REVENDA EM TRANSITOSEM INFORMACAO</t>
  </si>
  <si>
    <t>115610100'= MATERIAIS DE CONSUMO03</t>
  </si>
  <si>
    <t>115610100'= MATERIAIS DE CONSUMO04</t>
  </si>
  <si>
    <t>115610100'= MATERIAIS DE CONSUMO07</t>
  </si>
  <si>
    <t>115610100'= MATERIAIS DE CONSUMO09</t>
  </si>
  <si>
    <t>115610100'= MATERIAIS DE CONSUMO11</t>
  </si>
  <si>
    <t>115610100'= MATERIAIS DE CONSUMO16</t>
  </si>
  <si>
    <t>115610100'= MATERIAIS DE CONSUMO17</t>
  </si>
  <si>
    <t>115610100'= MATERIAIS DE CONSUMO19</t>
  </si>
  <si>
    <t>115610100'= MATERIAIS DE CONSUMO21</t>
  </si>
  <si>
    <t>115610100'= MATERIAIS DE CONSUMO22</t>
  </si>
  <si>
    <t>115610100'= MATERIAIS DE CONSUMO23</t>
  </si>
  <si>
    <t>115610100'= MATERIAIS DE CONSUMO24</t>
  </si>
  <si>
    <t>115610100'= MATERIAIS DE CONSUMO25</t>
  </si>
  <si>
    <t>115610100'= MATERIAIS DE CONSUMO26</t>
  </si>
  <si>
    <t>115610100'= MATERIAIS DE CONSUMO28</t>
  </si>
  <si>
    <t>115610100'= MATERIAIS DE CONSUMO33</t>
  </si>
  <si>
    <t>115610100'= MATERIAIS DE CONSUMO35</t>
  </si>
  <si>
    <t>115610100'= MATERIAIS DE CONSUMO36</t>
  </si>
  <si>
    <t>115610100'= MATERIAIS DE CONSUMO39</t>
  </si>
  <si>
    <t>115610100'= MATERIAIS DE CONSUMO42</t>
  </si>
  <si>
    <t>115610100'= MATERIAIS DE CONSUMO44</t>
  </si>
  <si>
    <t>115610100'= MATERIAIS DE CONSUMO46</t>
  </si>
  <si>
    <t>115610100'= MATERIAIS DE CONSUMO47</t>
  </si>
  <si>
    <t>115610100'= MATERIAIS DE CONSUMO48</t>
  </si>
  <si>
    <t>115610100'= MATERIAIS DE CONSUMO58</t>
  </si>
  <si>
    <t>115610100'= MATERIAIS DE CONSUMO59</t>
  </si>
  <si>
    <t>115610100'= MATERIAIS DE CONSUMO99</t>
  </si>
  <si>
    <t>115611000'= MATERIAIS DE CONSUMO NAO LOCALIZADOS26</t>
  </si>
  <si>
    <t>115410100MATERIAS-PRIMAS - ARMAZENS PROPRIOSSEM INFORMACAO</t>
  </si>
  <si>
    <t>1.1.3.2 Ativo Circulante - Estoques: Matéria Prima</t>
  </si>
  <si>
    <t>115210100'= PRODUTOS ACABADOSIC2022001</t>
  </si>
  <si>
    <t>1.1.3.3 Ativo Circulante - Estoques: Produtos Acabados</t>
  </si>
  <si>
    <t>115210100'= PRODUTOS ACABADOSIC2022003</t>
  </si>
  <si>
    <t>115210100'= PRODUTOS ACABADOSIC2022004</t>
  </si>
  <si>
    <t>115210100'= PRODUTOS ACABADOSIC2022006</t>
  </si>
  <si>
    <t>115210100'= PRODUTOS ACABADOSIC2022010</t>
  </si>
  <si>
    <t>115210100'= PRODUTOS ACABADOSIC2022013</t>
  </si>
  <si>
    <t>115210100'= PRODUTOS ACABADOSIC2022014</t>
  </si>
  <si>
    <t>115210100'= PRODUTOS ACABADOSIC2023001</t>
  </si>
  <si>
    <t>115310100'= PRODUTOS EM ELABORACAOIC2022001</t>
  </si>
  <si>
    <t>1.1.3.4 Ativo Circulante - Estoques: Produtos em Elaboração</t>
  </si>
  <si>
    <t>115310100'= PRODUTOS EM ELABORACAOIC2022002</t>
  </si>
  <si>
    <t>115310100'= PRODUTOS EM ELABORACAOIC2022003</t>
  </si>
  <si>
    <t>115310100'= PRODUTOS EM ELABORACAOIC2022004</t>
  </si>
  <si>
    <t>115310100'= PRODUTOS EM ELABORACAOIC2022005</t>
  </si>
  <si>
    <t>115310100'= PRODUTOS EM ELABORACAOIC2022006</t>
  </si>
  <si>
    <t>115310100'= PRODUTOS EM ELABORACAOIC2022007</t>
  </si>
  <si>
    <t>115310100'= PRODUTOS EM ELABORACAOIC2022010</t>
  </si>
  <si>
    <t>115310100'= PRODUTOS EM ELABORACAOIC2022011</t>
  </si>
  <si>
    <t>115310100'= PRODUTOS EM ELABORACAOIC2022012</t>
  </si>
  <si>
    <t>115310100'= PRODUTOS EM ELABORACAOIC2022013</t>
  </si>
  <si>
    <t>115310100'= PRODUTOS EM ELABORACAOIC2022014</t>
  </si>
  <si>
    <t>115310100'= PRODUTOS EM ELABORACAOIC2022015</t>
  </si>
  <si>
    <t>115310100'= PRODUTOS EM ELABORACAOIC2022016</t>
  </si>
  <si>
    <t>115310100'= PRODUTOS EM ELABORACAOIC2023001</t>
  </si>
  <si>
    <t>113110900'= ADIANTAMENTOS A FORNECEDORES00000000000191</t>
  </si>
  <si>
    <t xml:space="preserve">1.1.3.5 Ativo Circulante - Estoques: Adto a Fornecedores </t>
  </si>
  <si>
    <t>113110900'= ADIANTAMENTOS A FORNECEDORES03386326000600</t>
  </si>
  <si>
    <t>113110900'= ADIANTAMENTOS A FORNECEDORES10573521000191</t>
  </si>
  <si>
    <t>113110900'= ADIANTAMENTOS A FORNECEDORES17227422000105</t>
  </si>
  <si>
    <t>113110900'= ADIANTAMENTOS A FORNECEDORES29617631000136</t>
  </si>
  <si>
    <t>113110900'= ADIANTAMENTOS A FORNECEDORES33220880000160</t>
  </si>
  <si>
    <t>113110900'= ADIANTAMENTOS A FORNECEDORES66018441000129</t>
  </si>
  <si>
    <t>115810500IMPORTACOES EM ANDAMENTO - ESTOQUESSEM INFORMACAO</t>
  </si>
  <si>
    <t>1.1.3.6 Ativo Circulante - Estoques: Importações</t>
  </si>
  <si>
    <t>113121300'= ADIANTAMENTO DE IRPJ E CSLL170010</t>
  </si>
  <si>
    <t>Outros Créditos</t>
  </si>
  <si>
    <t>1.1.4.1 Ativo Circulante - Impostos</t>
  </si>
  <si>
    <t>113210100'= IPI A RECUPERAR/COMPENSAR1050000266</t>
  </si>
  <si>
    <t>Impostos a Recuperar</t>
  </si>
  <si>
    <t>113210200'= ICMS A RECUPERAR / COMPENSAR1050000266</t>
  </si>
  <si>
    <t>113210400'= IRRF A COMPENSAR1050000266</t>
  </si>
  <si>
    <t>113210500'= IR E CSLL A RECUPERAR/COMPENSAR1050000266</t>
  </si>
  <si>
    <t>113211300'= COFINS A RECUPERAR / COMPENSAR1050000266</t>
  </si>
  <si>
    <t>113211400'= PIS/PASEP A RECUPERAR/COMPENSAR1050000266</t>
  </si>
  <si>
    <t>113110101'= 13 SALARIO - ADIANTAMENTOPF9999905</t>
  </si>
  <si>
    <t>1.1.5.1 Ativo Circulante - Adiantamento de Pessoal: Adto 13º Salários</t>
  </si>
  <si>
    <t>113110102'= ADIANTAMENTO DE FERIASPF9999905</t>
  </si>
  <si>
    <t>1.1.5.2 Ativo Circulante - Adiantamento de Pessoal: Adto de Férias</t>
  </si>
  <si>
    <t>113110103'= VIAGENS - ADIANTAMENTO00021221707</t>
  </si>
  <si>
    <t>1.1.5.3 Ativo Circulante - Adiantamento de Pessoal: Adto de Viagens</t>
  </si>
  <si>
    <t>113110103'= VIAGENS - ADIANTAMENTO00085062723</t>
  </si>
  <si>
    <t>113110103'= VIAGENS - ADIANTAMENTO00345967712</t>
  </si>
  <si>
    <t>113110103'= VIAGENS - ADIANTAMENTO00479751722</t>
  </si>
  <si>
    <t>113110103'= VIAGENS - ADIANTAMENTO00559524706</t>
  </si>
  <si>
    <t>113110103'= VIAGENS - ADIANTAMENTO00606255702</t>
  </si>
  <si>
    <t>113110103'= VIAGENS - ADIANTAMENTO00950520705</t>
  </si>
  <si>
    <t>113110103'= VIAGENS - ADIANTAMENTO01135098719</t>
  </si>
  <si>
    <t>113110103'= VIAGENS - ADIANTAMENTO01403752524</t>
  </si>
  <si>
    <t>113110103'= VIAGENS - ADIANTAMENTO01406066702</t>
  </si>
  <si>
    <t>113110103'= VIAGENS - ADIANTAMENTO01414462778</t>
  </si>
  <si>
    <t>113110103'= VIAGENS - ADIANTAMENTO01455185744</t>
  </si>
  <si>
    <t>113110103'= VIAGENS - ADIANTAMENTO01617762725</t>
  </si>
  <si>
    <t>113110103'= VIAGENS - ADIANTAMENTO01652326766</t>
  </si>
  <si>
    <t>113110103'= VIAGENS - ADIANTAMENTO01845561716</t>
  </si>
  <si>
    <t>113110103'= VIAGENS - ADIANTAMENTO01851133704</t>
  </si>
  <si>
    <t>113110103'= VIAGENS - ADIANTAMENTO01947411764</t>
  </si>
  <si>
    <t>113110103'= VIAGENS - ADIANTAMENTO02051085714</t>
  </si>
  <si>
    <t>113110103'= VIAGENS - ADIANTAMENTO02065435739</t>
  </si>
  <si>
    <t>113110103'= VIAGENS - ADIANTAMENTO02132647739</t>
  </si>
  <si>
    <t>113110103'= VIAGENS - ADIANTAMENTO02155157738</t>
  </si>
  <si>
    <t>113110103'= VIAGENS - ADIANTAMENTO02170461779</t>
  </si>
  <si>
    <t>113110103'= VIAGENS - ADIANTAMENTO02241603708</t>
  </si>
  <si>
    <t>113110103'= VIAGENS - ADIANTAMENTO02314099745</t>
  </si>
  <si>
    <t>113110103'= VIAGENS - ADIANTAMENTO02505136769</t>
  </si>
  <si>
    <t>113110103'= VIAGENS - ADIANTAMENTO02529663769</t>
  </si>
  <si>
    <t>113110103'= VIAGENS - ADIANTAMENTO02539202721</t>
  </si>
  <si>
    <t>113110103'= VIAGENS - ADIANTAMENTO02585313719</t>
  </si>
  <si>
    <t>113110103'= VIAGENS - ADIANTAMENTO03018866797</t>
  </si>
  <si>
    <t>113110103'= VIAGENS - ADIANTAMENTO03248614781</t>
  </si>
  <si>
    <t>113110103'= VIAGENS - ADIANTAMENTO03318464708</t>
  </si>
  <si>
    <t>113110103'= VIAGENS - ADIANTAMENTO03408946795</t>
  </si>
  <si>
    <t>113110103'= VIAGENS - ADIANTAMENTO03434794786</t>
  </si>
  <si>
    <t>113110103'= VIAGENS - ADIANTAMENTO03470602182</t>
  </si>
  <si>
    <t>113110103'= VIAGENS - ADIANTAMENTO03595051718</t>
  </si>
  <si>
    <t>113110103'= VIAGENS - ADIANTAMENTO03662930790</t>
  </si>
  <si>
    <t>113110103'= VIAGENS - ADIANTAMENTO03870112778</t>
  </si>
  <si>
    <t>113110103'= VIAGENS - ADIANTAMENTO04150881782</t>
  </si>
  <si>
    <t>113110103'= VIAGENS - ADIANTAMENTO04243088780</t>
  </si>
  <si>
    <t>113110103'= VIAGENS - ADIANTAMENTO04253658679</t>
  </si>
  <si>
    <t>113110103'= VIAGENS - ADIANTAMENTO04264700795</t>
  </si>
  <si>
    <t>113110103'= VIAGENS - ADIANTAMENTO04411522799</t>
  </si>
  <si>
    <t>113110103'= VIAGENS - ADIANTAMENTO04412254704</t>
  </si>
  <si>
    <t>113110103'= VIAGENS - ADIANTAMENTO04416936796</t>
  </si>
  <si>
    <t>113110103'= VIAGENS - ADIANTAMENTO04467200541</t>
  </si>
  <si>
    <t>113110103'= VIAGENS - ADIANTAMENTO05151986767</t>
  </si>
  <si>
    <t>113110103'= VIAGENS - ADIANTAMENTO05182550774</t>
  </si>
  <si>
    <t>113110103'= VIAGENS - ADIANTAMENTO05282052776</t>
  </si>
  <si>
    <t>113110103'= VIAGENS - ADIANTAMENTO05314448726</t>
  </si>
  <si>
    <t>113110103'= VIAGENS - ADIANTAMENTO05320361742</t>
  </si>
  <si>
    <t>113110103'= VIAGENS - ADIANTAMENTO05320369646</t>
  </si>
  <si>
    <t>113110103'= VIAGENS - ADIANTAMENTO05341682645</t>
  </si>
  <si>
    <t>113110103'= VIAGENS - ADIANTAMENTO05361046701</t>
  </si>
  <si>
    <t>113110103'= VIAGENS - ADIANTAMENTO05492202758</t>
  </si>
  <si>
    <t>113110103'= VIAGENS - ADIANTAMENTO05519024774</t>
  </si>
  <si>
    <t>113110103'= VIAGENS - ADIANTAMENTO05532915725</t>
  </si>
  <si>
    <t>113110103'= VIAGENS - ADIANTAMENTO05541957710</t>
  </si>
  <si>
    <t>113110103'= VIAGENS - ADIANTAMENTO05604479730</t>
  </si>
  <si>
    <t>113110103'= VIAGENS - ADIANTAMENTO05618288737</t>
  </si>
  <si>
    <t>113110103'= VIAGENS - ADIANTAMENTO05645709748</t>
  </si>
  <si>
    <t>113110103'= VIAGENS - ADIANTAMENTO05677782742</t>
  </si>
  <si>
    <t>113110103'= VIAGENS - ADIANTAMENTO05678774778</t>
  </si>
  <si>
    <t>113110103'= VIAGENS - ADIANTAMENTO05791053770</t>
  </si>
  <si>
    <t>113110103'= VIAGENS - ADIANTAMENTO05863108789</t>
  </si>
  <si>
    <t>113110103'= VIAGENS - ADIANTAMENTO05869949718</t>
  </si>
  <si>
    <t>113110103'= VIAGENS - ADIANTAMENTO05877414739</t>
  </si>
  <si>
    <t>113110103'= VIAGENS - ADIANTAMENTO05977083718</t>
  </si>
  <si>
    <t>113110103'= VIAGENS - ADIANTAMENTO05985523756</t>
  </si>
  <si>
    <t>113110103'= VIAGENS - ADIANTAMENTO06036103743</t>
  </si>
  <si>
    <t>113110103'= VIAGENS - ADIANTAMENTO06070982797</t>
  </si>
  <si>
    <t>113110103'= VIAGENS - ADIANTAMENTO06964465707</t>
  </si>
  <si>
    <t>113110103'= VIAGENS - ADIANTAMENTO07011054707</t>
  </si>
  <si>
    <t>113110103'= VIAGENS - ADIANTAMENTO07034952752</t>
  </si>
  <si>
    <t>113110103'= VIAGENS - ADIANTAMENTO07154974729</t>
  </si>
  <si>
    <t>113110103'= VIAGENS - ADIANTAMENTO07332423758</t>
  </si>
  <si>
    <t>113110103'= VIAGENS - ADIANTAMENTO07349170742</t>
  </si>
  <si>
    <t>113110103'= VIAGENS - ADIANTAMENTO07358038703</t>
  </si>
  <si>
    <t>113110103'= VIAGENS - ADIANTAMENTO07375703779</t>
  </si>
  <si>
    <t>113110103'= VIAGENS - ADIANTAMENTO07384277728</t>
  </si>
  <si>
    <t>113110103'= VIAGENS - ADIANTAMENTO07450725770</t>
  </si>
  <si>
    <t>113110103'= VIAGENS - ADIANTAMENTO07454288782</t>
  </si>
  <si>
    <t>113110103'= VIAGENS - ADIANTAMENTO07506693739</t>
  </si>
  <si>
    <t>113110103'= VIAGENS - ADIANTAMENTO07552841788</t>
  </si>
  <si>
    <t>113110103'= VIAGENS - ADIANTAMENTO07568732746</t>
  </si>
  <si>
    <t>113110103'= VIAGENS - ADIANTAMENTO07650953785</t>
  </si>
  <si>
    <t>113110103'= VIAGENS - ADIANTAMENTO07708292794</t>
  </si>
  <si>
    <t>113110103'= VIAGENS - ADIANTAMENTO07712093717</t>
  </si>
  <si>
    <t>113110103'= VIAGENS - ADIANTAMENTO07716667726</t>
  </si>
  <si>
    <t>113110103'= VIAGENS - ADIANTAMENTO07773254702</t>
  </si>
  <si>
    <t>113110103'= VIAGENS - ADIANTAMENTO07788307726</t>
  </si>
  <si>
    <t>113110103'= VIAGENS - ADIANTAMENTO07808975796</t>
  </si>
  <si>
    <t>113110103'= VIAGENS - ADIANTAMENTO07809171704</t>
  </si>
  <si>
    <t>113110103'= VIAGENS - ADIANTAMENTO07844342714</t>
  </si>
  <si>
    <t>113110103'= VIAGENS - ADIANTAMENTO07845629707</t>
  </si>
  <si>
    <t>113110103'= VIAGENS - ADIANTAMENTO07876820719</t>
  </si>
  <si>
    <t>113110103'= VIAGENS - ADIANTAMENTO07887245761</t>
  </si>
  <si>
    <t>113110103'= VIAGENS - ADIANTAMENTO07912863710</t>
  </si>
  <si>
    <t>113110103'= VIAGENS - ADIANTAMENTO07958493703</t>
  </si>
  <si>
    <t>113110103'= VIAGENS - ADIANTAMENTO08026237781</t>
  </si>
  <si>
    <t>113110103'= VIAGENS - ADIANTAMENTO08034666769</t>
  </si>
  <si>
    <t>113110103'= VIAGENS - ADIANTAMENTO08037198766</t>
  </si>
  <si>
    <t>113110103'= VIAGENS - ADIANTAMENTO08117186705</t>
  </si>
  <si>
    <t>113110103'= VIAGENS - ADIANTAMENTO08252397700</t>
  </si>
  <si>
    <t>113110103'= VIAGENS - ADIANTAMENTO08253330758</t>
  </si>
  <si>
    <t>113110103'= VIAGENS - ADIANTAMENTO08352320777</t>
  </si>
  <si>
    <t>113110103'= VIAGENS - ADIANTAMENTO08389037700</t>
  </si>
  <si>
    <t>113110103'= VIAGENS - ADIANTAMENTO08403534728</t>
  </si>
  <si>
    <t>113110103'= VIAGENS - ADIANTAMENTO08471275759</t>
  </si>
  <si>
    <t>113110103'= VIAGENS - ADIANTAMENTO08502159780</t>
  </si>
  <si>
    <t>113110103'= VIAGENS - ADIANTAMENTO08510378797</t>
  </si>
  <si>
    <t>113110103'= VIAGENS - ADIANTAMENTO08610700704</t>
  </si>
  <si>
    <t>113110103'= VIAGENS - ADIANTAMENTO08687718721</t>
  </si>
  <si>
    <t>113110103'= VIAGENS - ADIANTAMENTO08691815728</t>
  </si>
  <si>
    <t>113110103'= VIAGENS - ADIANTAMENTO08741297709</t>
  </si>
  <si>
    <t>113110103'= VIAGENS - ADIANTAMENTO08751517795</t>
  </si>
  <si>
    <t>113110103'= VIAGENS - ADIANTAMENTO08943162731</t>
  </si>
  <si>
    <t>113110103'= VIAGENS - ADIANTAMENTO08958166797</t>
  </si>
  <si>
    <t>113110103'= VIAGENS - ADIANTAMENTO09074683738</t>
  </si>
  <si>
    <t>113110103'= VIAGENS - ADIANTAMENTO09083315762</t>
  </si>
  <si>
    <t>113110103'= VIAGENS - ADIANTAMENTO09097912792</t>
  </si>
  <si>
    <t>113110103'= VIAGENS - ADIANTAMENTO09125619713</t>
  </si>
  <si>
    <t>113110103'= VIAGENS - ADIANTAMENTO09175552795</t>
  </si>
  <si>
    <t>113110103'= VIAGENS - ADIANTAMENTO09233861732</t>
  </si>
  <si>
    <t>113110103'= VIAGENS - ADIANTAMENTO09265267747</t>
  </si>
  <si>
    <t>113110103'= VIAGENS - ADIANTAMENTO09285929796</t>
  </si>
  <si>
    <t>113110103'= VIAGENS - ADIANTAMENTO09296059771</t>
  </si>
  <si>
    <t>113110103'= VIAGENS - ADIANTAMENTO09409138795</t>
  </si>
  <si>
    <t>113110103'= VIAGENS - ADIANTAMENTO09480332744</t>
  </si>
  <si>
    <t>113110103'= VIAGENS - ADIANTAMENTO09522848719</t>
  </si>
  <si>
    <t>113110103'= VIAGENS - ADIANTAMENTO09537610705</t>
  </si>
  <si>
    <t>113110103'= VIAGENS - ADIANTAMENTO09551885716</t>
  </si>
  <si>
    <t>113110103'= VIAGENS - ADIANTAMENTO09621077788</t>
  </si>
  <si>
    <t>113110103'= VIAGENS - ADIANTAMENTO09625244760</t>
  </si>
  <si>
    <t>113110103'= VIAGENS - ADIANTAMENTO09667427706</t>
  </si>
  <si>
    <t>113110103'= VIAGENS - ADIANTAMENTO09710217755</t>
  </si>
  <si>
    <t>113110103'= VIAGENS - ADIANTAMENTO09715087710</t>
  </si>
  <si>
    <t>113110103'= VIAGENS - ADIANTAMENTO09773174719</t>
  </si>
  <si>
    <t>113110103'= VIAGENS - ADIANTAMENTO09788118798</t>
  </si>
  <si>
    <t>113110103'= VIAGENS - ADIANTAMENTO09860243760</t>
  </si>
  <si>
    <t>113110103'= VIAGENS - ADIANTAMENTO09905589759</t>
  </si>
  <si>
    <t>113110103'= VIAGENS - ADIANTAMENTO09989182701</t>
  </si>
  <si>
    <t>113110103'= VIAGENS - ADIANTAMENTO10001335758</t>
  </si>
  <si>
    <t>113110103'= VIAGENS - ADIANTAMENTO10029617774</t>
  </si>
  <si>
    <t>113110103'= VIAGENS - ADIANTAMENTO10104989750</t>
  </si>
  <si>
    <t>113110103'= VIAGENS - ADIANTAMENTO10125054726</t>
  </si>
  <si>
    <t>113110103'= VIAGENS - ADIANTAMENTO10238278751</t>
  </si>
  <si>
    <t>113110103'= VIAGENS - ADIANTAMENTO10247161713</t>
  </si>
  <si>
    <t>113110103'= VIAGENS - ADIANTAMENTO10505533731</t>
  </si>
  <si>
    <t>113110103'= VIAGENS - ADIANTAMENTO10544676769</t>
  </si>
  <si>
    <t>113110103'= VIAGENS - ADIANTAMENTO10578800780</t>
  </si>
  <si>
    <t>113110103'= VIAGENS - ADIANTAMENTO10613752775</t>
  </si>
  <si>
    <t>113110103'= VIAGENS - ADIANTAMENTO10678049785</t>
  </si>
  <si>
    <t>113110103'= VIAGENS - ADIANTAMENTO10748275703</t>
  </si>
  <si>
    <t>113110103'= VIAGENS - ADIANTAMENTO10913562700</t>
  </si>
  <si>
    <t>113110103'= VIAGENS - ADIANTAMENTO10946153744</t>
  </si>
  <si>
    <t>113110103'= VIAGENS - ADIANTAMENTO10949347710</t>
  </si>
  <si>
    <t>113110103'= VIAGENS - ADIANTAMENTO10980620783</t>
  </si>
  <si>
    <t>113110103'= VIAGENS - ADIANTAMENTO10986762709</t>
  </si>
  <si>
    <t>113110103'= VIAGENS - ADIANTAMENTO11026627710</t>
  </si>
  <si>
    <t>113110103'= VIAGENS - ADIANTAMENTO11036758770</t>
  </si>
  <si>
    <t>113110103'= VIAGENS - ADIANTAMENTO11069612774</t>
  </si>
  <si>
    <t>113110103'= VIAGENS - ADIANTAMENTO11088864775</t>
  </si>
  <si>
    <t>113110103'= VIAGENS - ADIANTAMENTO11093884703</t>
  </si>
  <si>
    <t>113110103'= VIAGENS - ADIANTAMENTO11103375741</t>
  </si>
  <si>
    <t>113110103'= VIAGENS - ADIANTAMENTO11103390708</t>
  </si>
  <si>
    <t>113110103'= VIAGENS - ADIANTAMENTO11103478710</t>
  </si>
  <si>
    <t>113110103'= VIAGENS - ADIANTAMENTO11106048741</t>
  </si>
  <si>
    <t>113110103'= VIAGENS - ADIANTAMENTO11128990733</t>
  </si>
  <si>
    <t>113110103'= VIAGENS - ADIANTAMENTO11146789700</t>
  </si>
  <si>
    <t>113110103'= VIAGENS - ADIANTAMENTO11254992731</t>
  </si>
  <si>
    <t>113110103'= VIAGENS - ADIANTAMENTO11485189756</t>
  </si>
  <si>
    <t>113110103'= VIAGENS - ADIANTAMENTO11496825748</t>
  </si>
  <si>
    <t>113110103'= VIAGENS - ADIANTAMENTO11621224716</t>
  </si>
  <si>
    <t>113110103'= VIAGENS - ADIANTAMENTO11624919731</t>
  </si>
  <si>
    <t>113110103'= VIAGENS - ADIANTAMENTO11657929744</t>
  </si>
  <si>
    <t>113110103'= VIAGENS - ADIANTAMENTO11670149790</t>
  </si>
  <si>
    <t>113110103'= VIAGENS - ADIANTAMENTO11748498789</t>
  </si>
  <si>
    <t>113110103'= VIAGENS - ADIANTAMENTO11753893747</t>
  </si>
  <si>
    <t>113110103'= VIAGENS - ADIANTAMENTO11882656792</t>
  </si>
  <si>
    <t>113110103'= VIAGENS - ADIANTAMENTO11888471719</t>
  </si>
  <si>
    <t>113110103'= VIAGENS - ADIANTAMENTO11930765797</t>
  </si>
  <si>
    <t>113110103'= VIAGENS - ADIANTAMENTO11975532740</t>
  </si>
  <si>
    <t>113110103'= VIAGENS - ADIANTAMENTO12002456798</t>
  </si>
  <si>
    <t>113110103'= VIAGENS - ADIANTAMENTO12010504720</t>
  </si>
  <si>
    <t>113110103'= VIAGENS - ADIANTAMENTO12116849705</t>
  </si>
  <si>
    <t>113110103'= VIAGENS - ADIANTAMENTO12133147713</t>
  </si>
  <si>
    <t>113110103'= VIAGENS - ADIANTAMENTO12153142725</t>
  </si>
  <si>
    <t>113110103'= VIAGENS - ADIANTAMENTO12178480705</t>
  </si>
  <si>
    <t>113110103'= VIAGENS - ADIANTAMENTO12179313764</t>
  </si>
  <si>
    <t>113110103'= VIAGENS - ADIANTAMENTO12207050718</t>
  </si>
  <si>
    <t>113110103'= VIAGENS - ADIANTAMENTO12228568759</t>
  </si>
  <si>
    <t>113110103'= VIAGENS - ADIANTAMENTO12232702707</t>
  </si>
  <si>
    <t>113110103'= VIAGENS - ADIANTAMENTO12243559706</t>
  </si>
  <si>
    <t>113110103'= VIAGENS - ADIANTAMENTO12243564700</t>
  </si>
  <si>
    <t>113110103'= VIAGENS - ADIANTAMENTO12323155750</t>
  </si>
  <si>
    <t>113110103'= VIAGENS - ADIANTAMENTO12339353726</t>
  </si>
  <si>
    <t>113110103'= VIAGENS - ADIANTAMENTO12360509756</t>
  </si>
  <si>
    <t>113110103'= VIAGENS - ADIANTAMENTO12388168783</t>
  </si>
  <si>
    <t>113110103'= VIAGENS - ADIANTAMENTO12416679775</t>
  </si>
  <si>
    <t>113110103'= VIAGENS - ADIANTAMENTO12455956792</t>
  </si>
  <si>
    <t>113110103'= VIAGENS - ADIANTAMENTO12530156786</t>
  </si>
  <si>
    <t>113110103'= VIAGENS - ADIANTAMENTO12603865706</t>
  </si>
  <si>
    <t>113110103'= VIAGENS - ADIANTAMENTO12609177704</t>
  </si>
  <si>
    <t>113110103'= VIAGENS - ADIANTAMENTO12662396776</t>
  </si>
  <si>
    <t>113110103'= VIAGENS - ADIANTAMENTO12853099792</t>
  </si>
  <si>
    <t>113110103'= VIAGENS - ADIANTAMENTO12907866745</t>
  </si>
  <si>
    <t>113110103'= VIAGENS - ADIANTAMENTO12952461716</t>
  </si>
  <si>
    <t>113110103'= VIAGENS - ADIANTAMENTO13045670792</t>
  </si>
  <si>
    <t>113110103'= VIAGENS - ADIANTAMENTO13069590713</t>
  </si>
  <si>
    <t>113110103'= VIAGENS - ADIANTAMENTO13088310720</t>
  </si>
  <si>
    <t>113110103'= VIAGENS - ADIANTAMENTO13151337767</t>
  </si>
  <si>
    <t>113110103'= VIAGENS - ADIANTAMENTO13151475728</t>
  </si>
  <si>
    <t>113110103'= VIAGENS - ADIANTAMENTO13194064754</t>
  </si>
  <si>
    <t>113110103'= VIAGENS - ADIANTAMENTO13258665710</t>
  </si>
  <si>
    <t>113110103'= VIAGENS - ADIANTAMENTO13314942737</t>
  </si>
  <si>
    <t>113110103'= VIAGENS - ADIANTAMENTO13333191776</t>
  </si>
  <si>
    <t>113110103'= VIAGENS - ADIANTAMENTO13392853712</t>
  </si>
  <si>
    <t>113110103'= VIAGENS - ADIANTAMENTO13446574786</t>
  </si>
  <si>
    <t>113110103'= VIAGENS - ADIANTAMENTO13451535700</t>
  </si>
  <si>
    <t>113110103'= VIAGENS - ADIANTAMENTO13463298775</t>
  </si>
  <si>
    <t>113110103'= VIAGENS - ADIANTAMENTO13477071743</t>
  </si>
  <si>
    <t>113110103'= VIAGENS - ADIANTAMENTO13480919758</t>
  </si>
  <si>
    <t>113110103'= VIAGENS - ADIANTAMENTO13480920764</t>
  </si>
  <si>
    <t>113110103'= VIAGENS - ADIANTAMENTO13482043701</t>
  </si>
  <si>
    <t>113110103'= VIAGENS - ADIANTAMENTO13484367784</t>
  </si>
  <si>
    <t>113110103'= VIAGENS - ADIANTAMENTO13497946788</t>
  </si>
  <si>
    <t>113110103'= VIAGENS - ADIANTAMENTO13533250750</t>
  </si>
  <si>
    <t>113110103'= VIAGENS - ADIANTAMENTO13668542767</t>
  </si>
  <si>
    <t>113110103'= VIAGENS - ADIANTAMENTO13741060704</t>
  </si>
  <si>
    <t>113110103'= VIAGENS - ADIANTAMENTO13874852709</t>
  </si>
  <si>
    <t>113110103'= VIAGENS - ADIANTAMENTO13900181721</t>
  </si>
  <si>
    <t>113110103'= VIAGENS - ADIANTAMENTO13955154769</t>
  </si>
  <si>
    <t>113110103'= VIAGENS - ADIANTAMENTO13967293726</t>
  </si>
  <si>
    <t>113110103'= VIAGENS - ADIANTAMENTO13986385797</t>
  </si>
  <si>
    <t>113110103'= VIAGENS - ADIANTAMENTO13997958726</t>
  </si>
  <si>
    <t>113110103'= VIAGENS - ADIANTAMENTO14010890703</t>
  </si>
  <si>
    <t>113110103'= VIAGENS - ADIANTAMENTO14026860728</t>
  </si>
  <si>
    <t>113110103'= VIAGENS - ADIANTAMENTO14061197762</t>
  </si>
  <si>
    <t>113110103'= VIAGENS - ADIANTAMENTO14075506754</t>
  </si>
  <si>
    <t>113110103'= VIAGENS - ADIANTAMENTO14134212707</t>
  </si>
  <si>
    <t>113110103'= VIAGENS - ADIANTAMENTO14160946798</t>
  </si>
  <si>
    <t>113110103'= VIAGENS - ADIANTAMENTO14445540773</t>
  </si>
  <si>
    <t>113110103'= VIAGENS - ADIANTAMENTO14449976703</t>
  </si>
  <si>
    <t>113110103'= VIAGENS - ADIANTAMENTO14455754776</t>
  </si>
  <si>
    <t>113110103'= VIAGENS - ADIANTAMENTO14460027720</t>
  </si>
  <si>
    <t>113110103'= VIAGENS - ADIANTAMENTO14461291790</t>
  </si>
  <si>
    <t>113110103'= VIAGENS - ADIANTAMENTO14483941712</t>
  </si>
  <si>
    <t>113110103'= VIAGENS - ADIANTAMENTO14489778783</t>
  </si>
  <si>
    <t>113110103'= VIAGENS - ADIANTAMENTO14513251778</t>
  </si>
  <si>
    <t>113110103'= VIAGENS - ADIANTAMENTO14515368796</t>
  </si>
  <si>
    <t>113110103'= VIAGENS - ADIANTAMENTO14524145729</t>
  </si>
  <si>
    <t>113110103'= VIAGENS - ADIANTAMENTO14624773721</t>
  </si>
  <si>
    <t>113110103'= VIAGENS - ADIANTAMENTO16175439775</t>
  </si>
  <si>
    <t>113110103'= VIAGENS - ADIANTAMENTO25663975896</t>
  </si>
  <si>
    <t>113110103'= VIAGENS - ADIANTAMENTO30701821787</t>
  </si>
  <si>
    <t>113110103'= VIAGENS - ADIANTAMENTO31779108800</t>
  </si>
  <si>
    <t>113110103'= VIAGENS - ADIANTAMENTO33051062715</t>
  </si>
  <si>
    <t>113110103'= VIAGENS - ADIANTAMENTO44134282691</t>
  </si>
  <si>
    <t>113110103'= VIAGENS - ADIANTAMENTO46178325134</t>
  </si>
  <si>
    <t>113110103'= VIAGENS - ADIANTAMENTO49006843768</t>
  </si>
  <si>
    <t>113110103'= VIAGENS - ADIANTAMENTO50443631700</t>
  </si>
  <si>
    <t>113110103'= VIAGENS - ADIANTAMENTO53362098720</t>
  </si>
  <si>
    <t>113110103'= VIAGENS - ADIANTAMENTO64475867720</t>
  </si>
  <si>
    <t>113110103'= VIAGENS - ADIANTAMENTO67317529753</t>
  </si>
  <si>
    <t>113110103'= VIAGENS - ADIANTAMENTO72286717753</t>
  </si>
  <si>
    <t>113110103'= VIAGENS - ADIANTAMENTO76414019372</t>
  </si>
  <si>
    <t>113110103'= VIAGENS - ADIANTAMENTO77399820759</t>
  </si>
  <si>
    <t>113110103'= VIAGENS - ADIANTAMENTO78522471720</t>
  </si>
  <si>
    <t>113110103'= VIAGENS - ADIANTAMENTO81392524768</t>
  </si>
  <si>
    <t>113110103'= VIAGENS - ADIANTAMENTO81756607753</t>
  </si>
  <si>
    <t>113110103'= VIAGENS - ADIANTAMENTO83429824753</t>
  </si>
  <si>
    <t>113110103'= VIAGENS - ADIANTAMENTO85407585715</t>
  </si>
  <si>
    <t>113110103'= VIAGENS - ADIANTAMENTO85951609704</t>
  </si>
  <si>
    <t>113110103'= VIAGENS - ADIANTAMENTO86076477768</t>
  </si>
  <si>
    <t>113110103'= VIAGENS - ADIANTAMENTO86704702687</t>
  </si>
  <si>
    <t>113110103'= VIAGENS - ADIANTAMENTO87506440768</t>
  </si>
  <si>
    <t>113110103'= VIAGENS - ADIANTAMENTO89919270768</t>
  </si>
  <si>
    <t>113110103'= VIAGENS - ADIANTAMENTO90941594734</t>
  </si>
  <si>
    <t>113110103'= VIAGENS - ADIANTAMENTO96080558572</t>
  </si>
  <si>
    <t>113110103'= VIAGENS - ADIANTAMENTO96330546720</t>
  </si>
  <si>
    <t>113110103'= VIAGENS - ADIANTAMENTO97503274700</t>
  </si>
  <si>
    <t>113110103'= VIAGENS - ADIANTAMENTO99275180725</t>
  </si>
  <si>
    <t>113110500'= ADIANTAMENTO A PRESTADORES DE SERVICOS00000000000191</t>
  </si>
  <si>
    <t>1.1.5.4 Ativo Circulante - Outros Créditos a Receber: Adto a Prestadores de Serviços</t>
  </si>
  <si>
    <t>113110500'= ADIANTAMENTO A PRESTADORES DE SERVICOS02016558000190</t>
  </si>
  <si>
    <t>113110500'= ADIANTAMENTO A PRESTADORES DE SERVICOS02381910000197</t>
  </si>
  <si>
    <t>113110500'= ADIANTAMENTO A PRESTADORES DE SERVICOS03669753000182</t>
  </si>
  <si>
    <t>113110500'= ADIANTAMENTO A PRESTADORES DE SERVICOS04254554000176</t>
  </si>
  <si>
    <t>113110500'= ADIANTAMENTO A PRESTADORES DE SERVICOS05820555000101</t>
  </si>
  <si>
    <t>113110500'= ADIANTAMENTO A PRESTADORES DE SERVICOS08237411000107</t>
  </si>
  <si>
    <t>113110500'= ADIANTAMENTO A PRESTADORES DE SERVICOS08783191000117</t>
  </si>
  <si>
    <t>113110500'= ADIANTAMENTO A PRESTADORES DE SERVICOS27830827000189</t>
  </si>
  <si>
    <t>113110500'= ADIANTAMENTO A PRESTADORES DE SERVICOS28383198000159</t>
  </si>
  <si>
    <t>113110500'= ADIANTAMENTO A PRESTADORES DE SERVICOS32185480000875</t>
  </si>
  <si>
    <t>113110500'= ADIANTAMENTO A PRESTADORES DE SERVICOS33220880000160</t>
  </si>
  <si>
    <t>113110500'= ADIANTAMENTO A PRESTADORES DE SERVICOS33345683000178</t>
  </si>
  <si>
    <t>113110500'= ADIANTAMENTO A PRESTADORES DE SERVICOS44140855000193</t>
  </si>
  <si>
    <t>113110500'= ADIANTAMENTO A PRESTADORES DE SERVICOS60444437000146</t>
  </si>
  <si>
    <t>113110500'= ADIANTAMENTO A PRESTADORES DE SERVICOS60633674000155</t>
  </si>
  <si>
    <t>113110500'= ADIANTAMENTO A PRESTADORES DE SERVICOS61074175000138</t>
  </si>
  <si>
    <t>113110500'= ADIANTAMENTO A PRESTADORES DE SERVICOS61074829001103</t>
  </si>
  <si>
    <t>113110500'= ADIANTAMENTO A PRESTADORES DE SERVICOS65494742000166</t>
  </si>
  <si>
    <t>113110500'= ADIANTAMENTO A PRESTADORES DE SERVICOSCL0011111</t>
  </si>
  <si>
    <t>113910101* = AJUSTE PARA PERDAS - SUBGRUPO 113 (C/C 090)113110500</t>
  </si>
  <si>
    <t>121219806'= CRED A REC POR ACERTO FINAN C/SERV E EX-SERVFT1050103</t>
  </si>
  <si>
    <t>1.2.1.1 Ativo Não Circulante - RLP Contas a Receber LP - Coorparticipação</t>
  </si>
  <si>
    <t>121219802CRED A REC POR CESSAO DE CREDITOS PELA UNIAOSEM INFORMACAO</t>
  </si>
  <si>
    <t>1.2.1.1 Ativo Não Circulante - RLP Contas a Receber LP - NUCLEOS</t>
  </si>
  <si>
    <t>121210605'= DEPOSITO EFETUADO P/INTERPOSICAO DE RECURSOSPF9999922</t>
  </si>
  <si>
    <t>Depósitos Recursais</t>
  </si>
  <si>
    <t>1.2.1.2 Ativo Não Circulante - RLP Depósitos Recursais: Trabalhistas</t>
  </si>
  <si>
    <t>121210603'= DEPOSITOS JUDICIAIS EFETUADOSPF9999930</t>
  </si>
  <si>
    <t>1.2.1.3 Ativo Não Circulante - RLP Depósitos Recursais: Sentenças</t>
  </si>
  <si>
    <t>121210603'= DEPOSITOS JUDICIAIS EFETUADOS00322818002093</t>
  </si>
  <si>
    <t>1.2.1.4 Ativo Não Circulante - RLP Depósitos Recursais: Demais</t>
  </si>
  <si>
    <t>121210603'= DEPOSITOS JUDICIAIS EFETUADOSPF9999922</t>
  </si>
  <si>
    <t>121210605'= DEPOSITO EFETUADO P/INTERPOSICAO DE RECURSOS00000000000191</t>
  </si>
  <si>
    <t>121210605'= DEPOSITO EFETUADO P/INTERPOSICAO DE RECURSOSPF9999930</t>
  </si>
  <si>
    <t>121210601'= DEPOSITO/CAUCAO EFETUADO POR CONTR/CONVENCAO42540211000167</t>
  </si>
  <si>
    <t>Caução</t>
  </si>
  <si>
    <t>1.2.1.5 Ativo Não Circulante - RLP Caução</t>
  </si>
  <si>
    <t>121210601'= DEPOSITO/CAUCAO EFETUADO POR CONTR/CONVENCAOCL0011111</t>
  </si>
  <si>
    <t>122110201'= PARTICIPACOES EM EMPRESAS (CUSTO)00001180000207</t>
  </si>
  <si>
    <t>Investimentos</t>
  </si>
  <si>
    <t>1.2.2.1 Ativo Não Circulante - Investimentos</t>
  </si>
  <si>
    <t>123110101APARELHOS DE MEDICAO E ORIENTACAOSEM INFORMACAO</t>
  </si>
  <si>
    <t>Imobilizado</t>
  </si>
  <si>
    <t>1.2.3.1 Ativo Não Circulante - Imobilizado Bruto</t>
  </si>
  <si>
    <t>123110102APARELHOS E EQUIPAMENTOS DE COMUNICACAOSEM INFORMACAO</t>
  </si>
  <si>
    <t>123110103EQUIPAM/UTENSILIOS MEDICOS,ODONTO,LAB E HOSPSEM INFORMACAO</t>
  </si>
  <si>
    <t>123110105EQUIPAMENTO DE PROTECAO, SEGURANCA E SOCORROSEM INFORMACAO</t>
  </si>
  <si>
    <t>123110106MAQUINAS E EQUIPAMENTOS INDUSTRIAISSEM INFORMACAO</t>
  </si>
  <si>
    <t>123110107MAQUINAS E EQUIPAMENTOS ENERGETICOSSEM INFORMACAO</t>
  </si>
  <si>
    <t>123110125MAQUINAS, UTENSILIOS E EQUIPAMENTOS  DIVERSOSSEM INFORMACAO</t>
  </si>
  <si>
    <t>123110201EQUIP DE TECNOLOG DA INFOR E COMUNICACAO/TICSEM INFORMACAO</t>
  </si>
  <si>
    <t>123110301APARELHOS E UTENSILIOS DOMESTICOSSEM INFORMACAO</t>
  </si>
  <si>
    <t>123110302MAQUINAS E UTENSILIOS DE ESCRITORIOSEM INFORMACAO</t>
  </si>
  <si>
    <t>123110303MOBILIARIO EM GERALSEM INFORMACAO</t>
  </si>
  <si>
    <t>123110405EQUIPAMENTOS PARA AUDIO, VIDEO E FOTOSEM INFORMACAO</t>
  </si>
  <si>
    <t>123110503VEICULOS DE TRACAO MECANICASEM INFORMACAO</t>
  </si>
  <si>
    <t>123110701'= BENS MOVEIS EM ELABORACAO00205354000504</t>
  </si>
  <si>
    <t>123110701'= BENS MOVEIS EM ELABORACAO08783191000117</t>
  </si>
  <si>
    <t>123110701'= BENS MOVEIS EM ELABORACAO13977867000143</t>
  </si>
  <si>
    <t>123110702IMPORTACOES EM ANDAMENTO - BENS MOVEISSEM INFORMACAO</t>
  </si>
  <si>
    <t>123110703'= ADIANTAMENTOS PARA INVERSOES EM BENS MOVEIS43111677000100</t>
  </si>
  <si>
    <t>123110801'= ESTOQUE INTERNO12</t>
  </si>
  <si>
    <t>123110801'= ESTOQUE INTERNO17</t>
  </si>
  <si>
    <t>123110801'= ESTOQUE INTERNO28</t>
  </si>
  <si>
    <t>123110801'= ESTOQUE INTERNO33</t>
  </si>
  <si>
    <t>123110801'= ESTOQUE INTERNO35</t>
  </si>
  <si>
    <t>123210202'= EDIFICIOSIM2011001</t>
  </si>
  <si>
    <t>123210202'= EDIFICIOSIM2011003</t>
  </si>
  <si>
    <t>123210202'= EDIFICIOSIM2011005</t>
  </si>
  <si>
    <t>123210202'= EDIFICIOSPJ7020220</t>
  </si>
  <si>
    <t>123210203'= TERRENOS/GLEBAS999</t>
  </si>
  <si>
    <t>123210601'= OBRAS EM ANDAMENTOIM19CS143</t>
  </si>
  <si>
    <t>123210601'= OBRAS EM ANDAMENTOIM21CS098</t>
  </si>
  <si>
    <t>123210601'= OBRAS EM ANDAMENTOIM22CS042</t>
  </si>
  <si>
    <t>123210700'= INSTALACOESIM2010403</t>
  </si>
  <si>
    <t>123210700'= INSTALACOESIM2013403</t>
  </si>
  <si>
    <t>123810100* = DEPRECIACAO ACUMULADA - BENS MOVEIS123110101</t>
  </si>
  <si>
    <t>1.2.3.2 Ativo Não Circulante - Imobilizado: Depreciação Acumulada</t>
  </si>
  <si>
    <t>123810100* = DEPRECIACAO ACUMULADA - BENS MOVEIS123110102</t>
  </si>
  <si>
    <t>123810100* = DEPRECIACAO ACUMULADA - BENS MOVEIS123110103</t>
  </si>
  <si>
    <t>123810100* = DEPRECIACAO ACUMULADA - BENS MOVEIS123110105</t>
  </si>
  <si>
    <t>123810100* = DEPRECIACAO ACUMULADA - BENS MOVEIS123110106</t>
  </si>
  <si>
    <t>123810100* = DEPRECIACAO ACUMULADA - BENS MOVEIS123110107</t>
  </si>
  <si>
    <t>123810100* = DEPRECIACAO ACUMULADA - BENS MOVEIS123110125</t>
  </si>
  <si>
    <t>123810100* = DEPRECIACAO ACUMULADA - BENS MOVEIS123110201</t>
  </si>
  <si>
    <t>123810100* = DEPRECIACAO ACUMULADA - BENS MOVEIS123110301</t>
  </si>
  <si>
    <t>123810100* = DEPRECIACAO ACUMULADA - BENS MOVEIS123110302</t>
  </si>
  <si>
    <t>123810100* = DEPRECIACAO ACUMULADA - BENS MOVEIS123110303</t>
  </si>
  <si>
    <t>123810100* = DEPRECIACAO ACUMULADA - BENS MOVEIS123110405</t>
  </si>
  <si>
    <t>123810100* = DEPRECIACAO ACUMULADA - BENS MOVEIS123110503</t>
  </si>
  <si>
    <t>123810200* = DEPRECIACAO ACUMULADA - BENS IMOVEIS123210202</t>
  </si>
  <si>
    <t>123810200* = DEPRECIACAO ACUMULADA - BENS IMOVEIS123210203</t>
  </si>
  <si>
    <t>123810200* = DEPRECIACAO ACUMULADA - BENS IMOVEIS123210700</t>
  </si>
  <si>
    <t>123910100* = REDUCAO AO VALOR RECUP DE IMOBILIZADO-MOVEIS123110101</t>
  </si>
  <si>
    <t>1.2.3.3 Ativo Não Circulante - Imobilizado: Redução ao Valor Recuperável [Impairment]</t>
  </si>
  <si>
    <t>123910100* = REDUCAO AO VALOR RECUP DE IMOBILIZADO-MOVEIS123110103</t>
  </si>
  <si>
    <t>123910100* = REDUCAO AO VALOR RECUP DE IMOBILIZADO-MOVEIS123110106</t>
  </si>
  <si>
    <t>123910100* = REDUCAO AO VALOR RECUP DE IMOBILIZADO-MOVEIS123110107</t>
  </si>
  <si>
    <t>123910100* = REDUCAO AO VALOR RECUP DE IMOBILIZADO-MOVEIS123110201</t>
  </si>
  <si>
    <t>123910100* = REDUCAO AO VALOR RECUP DE IMOBILIZADO-MOVEIS123110301</t>
  </si>
  <si>
    <t>123910100* = REDUCAO AO VALOR RECUP DE IMOBILIZADO-MOVEIS123110302</t>
  </si>
  <si>
    <t>123910100* = REDUCAO AO VALOR RECUP DE IMOBILIZADO-MOVEIS123110303</t>
  </si>
  <si>
    <t>123910100* = REDUCAO AO VALOR RECUP DE IMOBILIZADO-MOVEIS123110405</t>
  </si>
  <si>
    <t>123910200* = REDUCAO AO VALOR RECUP DE IMOBILIZADO-IMOVEIS123210700</t>
  </si>
  <si>
    <t>124110101'= SOFTWARESIS105CB20</t>
  </si>
  <si>
    <t>Intangível</t>
  </si>
  <si>
    <t>1.2.4.1 Ativo Não Circulante - Intangível Bruto</t>
  </si>
  <si>
    <t>124110101'= SOFTWARESISCOMMVAU</t>
  </si>
  <si>
    <t>124110101'= SOFTWARESISSQL5514</t>
  </si>
  <si>
    <t>124210105'= ADIANTAMENTOS P/ TRANSFERENCIA DE TECNOLOGIAIS1241001</t>
  </si>
  <si>
    <t>124210105'= ADIANTAMENTOS P/ TRANSFERENCIA DE TECNOLOGIAISCS01126</t>
  </si>
  <si>
    <t>124810100* = AMORTIZACAO ACUMULADA - CONTAS 1241101XX124110101</t>
  </si>
  <si>
    <t>1.2.4.2 Ativo Não Circulante - Intangível: Amortização Acumulada</t>
  </si>
  <si>
    <t>211110101'= SALARIOS, REMUNERACOES E BENEFICIOS1000000000</t>
  </si>
  <si>
    <t>Obrigações Trabalhistas e Sociais</t>
  </si>
  <si>
    <t>2.1.1.1 Obrigações Trabalhistas - Remuneração a Pagar</t>
  </si>
  <si>
    <t>211110101'= SALARIOS, REMUNERACOES E BENEFICIOSSEM INFORMACAO</t>
  </si>
  <si>
    <t>211410600'= FGTS1000000000PF9999906</t>
  </si>
  <si>
    <t>2.1.1.1.1 Obrigações Trabalhistas - FGTS S/ FOPAG</t>
  </si>
  <si>
    <t>211410600'= FGTS113208</t>
  </si>
  <si>
    <t>211420101'= INSS-CONTRIB.S/SALARIOS E REMUNERACOES -INTRA1000000000</t>
  </si>
  <si>
    <t>2.1.1.1.2 Obrigações Trabalhistas - INSS S/ FOPAG</t>
  </si>
  <si>
    <t>211410101= INSS-CONTRIBUICAO S/ SALARIOS E REMUNERACOES1000000000510001</t>
  </si>
  <si>
    <t>211411200'= ENCARGOS SOCIAIS - CONVENIO DE ARRECAD DIRETA1000000000</t>
  </si>
  <si>
    <t>211110103FERIAS A PAGARSEM INFORMACAO</t>
  </si>
  <si>
    <t>2.1.1.3.1 Obrigações Trabalhistas - Férias a Pagar</t>
  </si>
  <si>
    <t>211110102DECIMO TERCEIRO SALARIO A PAGARSEM INFORMACAO</t>
  </si>
  <si>
    <t>2.1.1.3.2 Obrigações Trabalhistas - 13º Salário a Pagar</t>
  </si>
  <si>
    <t>211410600'= FGTSPDENC0002</t>
  </si>
  <si>
    <t xml:space="preserve">2.1.1.3.3 Obrigações Trabalhistas - FGTS S/ Férias </t>
  </si>
  <si>
    <t>211410600'= FGTSPDENC0001</t>
  </si>
  <si>
    <t>2.1.1.3.4 Obrigações Trabalhistas - FGTS S/ 13º Salário</t>
  </si>
  <si>
    <t>211420101'= INSS-CONTRIB.S/SALARIOS E REMUNERACOES -INTRASEM INFORMACAO</t>
  </si>
  <si>
    <t>2.1.1.3.5 Obrigações Trabalhistas - INSS S/ Férias e 13º Salário</t>
  </si>
  <si>
    <t>218810129'= DEPOSITOS RETIDOS PESSOAL/BENEFICIO A PAGAR100000000000000000000191</t>
  </si>
  <si>
    <t>Outras Obrigações</t>
  </si>
  <si>
    <t>2.1.1.5 Obrigações Trabalhistas - Retenções Pessoal/Benefícios</t>
  </si>
  <si>
    <t>211410301'= CONTRIBUICAO A ENTIDADES DE PREVIDEN. PRIVADA100000000030022727000130</t>
  </si>
  <si>
    <t>2.1.2.1 Obrigações Previdenciárias - Previdência Privada</t>
  </si>
  <si>
    <t>211410301'= CONTRIBUICAO A ENTIDADES DE PREVIDEN. PRIVADA1000000000PF9999905</t>
  </si>
  <si>
    <t>211410301'= CONTRIBUICAO A ENTIDADES DE PREVIDEN. PRIVADA30022727000130</t>
  </si>
  <si>
    <t>2.1.2.2 Obrigações Previdenciárias - Previdência Privada - Termo de Equacionamento</t>
  </si>
  <si>
    <t>213110100'= FORNECEDORES NACIONAIS100000000001305625000124</t>
  </si>
  <si>
    <t>Fornecedores</t>
  </si>
  <si>
    <t>2.1.3.1 Fornecedores - Fornecedores Nacionais</t>
  </si>
  <si>
    <t>213110100'= FORNECEDORES NACIONAIS100000000005924256000109</t>
  </si>
  <si>
    <t>213110400'= CONTAS A PAGAR CREDORES NACIONAIS01117975000167</t>
  </si>
  <si>
    <t>2.1.3.2 Fornecedores - Contas a Pagar Nacionais</t>
  </si>
  <si>
    <t>213110400'= CONTAS A PAGAR CREDORES NACIONAIS02016558000190</t>
  </si>
  <si>
    <t>213110400'= CONTAS A PAGAR CREDORES NACIONAIS03279285000130</t>
  </si>
  <si>
    <t>213110400'= CONTAS A PAGAR CREDORES NACIONAIS100000000000000000000191</t>
  </si>
  <si>
    <t>213110400'= CONTAS A PAGAR CREDORES NACIONAIS100000000000029052000190</t>
  </si>
  <si>
    <t>213110400'= CONTAS A PAGAR CREDORES NACIONAIS100000000000171128000118</t>
  </si>
  <si>
    <t>213110400'= CONTAS A PAGAR CREDORES NACIONAIS100000000000177344000170</t>
  </si>
  <si>
    <t>213110400'= CONTAS A PAGAR CREDORES NACIONAIS100000000000277106000137</t>
  </si>
  <si>
    <t>213110400'= CONTAS A PAGAR CREDORES NACIONAIS100000000000329754000190</t>
  </si>
  <si>
    <t>213110400'= CONTAS A PAGAR CREDORES NACIONAIS100000000000331788000623</t>
  </si>
  <si>
    <t>213110400'= CONTAS A PAGAR CREDORES NACIONAIS100000000000385090000186</t>
  </si>
  <si>
    <t>213110400'= CONTAS A PAGAR CREDORES NACIONAIS100000000000423759000187</t>
  </si>
  <si>
    <t>213110400'= CONTAS A PAGAR CREDORES NACIONAIS100000000000565813000129</t>
  </si>
  <si>
    <t>213110400'= CONTAS A PAGAR CREDORES NACIONAIS100000000000567892000107</t>
  </si>
  <si>
    <t>213110400'= CONTAS A PAGAR CREDORES NACIONAIS100000000000568594000808</t>
  </si>
  <si>
    <t>213110400'= CONTAS A PAGAR CREDORES NACIONAIS100000000000604122000197</t>
  </si>
  <si>
    <t>213110400'= CONTAS A PAGAR CREDORES NACIONAIS100000000000631494000102</t>
  </si>
  <si>
    <t>213110400'= CONTAS A PAGAR CREDORES NACIONAIS100000000000740696000192</t>
  </si>
  <si>
    <t>213110400'= CONTAS A PAGAR CREDORES NACIONAIS100000000000752422000113</t>
  </si>
  <si>
    <t>213110400'= CONTAS A PAGAR CREDORES NACIONAIS100000000000908234000131</t>
  </si>
  <si>
    <t>213110400'= CONTAS A PAGAR CREDORES NACIONAIS100000000000910509000171</t>
  </si>
  <si>
    <t>213110400'= CONTAS A PAGAR CREDORES NACIONAIS100000000000938168000142</t>
  </si>
  <si>
    <t>213110400'= CONTAS A PAGAR CREDORES NACIONAIS100000000001082331000180</t>
  </si>
  <si>
    <t>213110400'= CONTAS A PAGAR CREDORES NACIONAIS100000000001117975000167</t>
  </si>
  <si>
    <t>213110400'= CONTAS A PAGAR CREDORES NACIONAIS100000000001238801000152</t>
  </si>
  <si>
    <t>213110400'= CONTAS A PAGAR CREDORES NACIONAIS100000000001264420000148</t>
  </si>
  <si>
    <t>213110400'= CONTAS A PAGAR CREDORES NACIONAIS100000000001305625000124</t>
  </si>
  <si>
    <t>213110400'= CONTAS A PAGAR CREDORES NACIONAIS100000000001308567000192</t>
  </si>
  <si>
    <t>213110400'= CONTAS A PAGAR CREDORES NACIONAIS100000000001402461000153</t>
  </si>
  <si>
    <t>213110400'= CONTAS A PAGAR CREDORES NACIONAIS100000000001512878000179</t>
  </si>
  <si>
    <t>213110400'= CONTAS A PAGAR CREDORES NACIONAIS100000000001554285000175</t>
  </si>
  <si>
    <t>213110400'= CONTAS A PAGAR CREDORES NACIONAIS100000000001590728000930</t>
  </si>
  <si>
    <t>213110400'= CONTAS A PAGAR CREDORES NACIONAIS100000000001597589000977</t>
  </si>
  <si>
    <t>213110400'= CONTAS A PAGAR CREDORES NACIONAIS100000000001762710000111</t>
  </si>
  <si>
    <t>213110400'= CONTAS A PAGAR CREDORES NACIONAIS100000000001783809000108</t>
  </si>
  <si>
    <t>213110400'= CONTAS A PAGAR CREDORES NACIONAIS100000000001852612000175</t>
  </si>
  <si>
    <t>213110400'= CONTAS A PAGAR CREDORES NACIONAIS100000000001983318000100</t>
  </si>
  <si>
    <t>213110400'= CONTAS A PAGAR CREDORES NACIONAIS100000000002016558000190</t>
  </si>
  <si>
    <t>213110400'= CONTAS A PAGAR CREDORES NACIONAIS100000000002059180000293</t>
  </si>
  <si>
    <t>213110400'= CONTAS A PAGAR CREDORES NACIONAIS100000000002174255000104</t>
  </si>
  <si>
    <t>213110400'= CONTAS A PAGAR CREDORES NACIONAIS100000000002192547706</t>
  </si>
  <si>
    <t>213110400'= CONTAS A PAGAR CREDORES NACIONAIS100000000002288055000174</t>
  </si>
  <si>
    <t>213110400'= CONTAS A PAGAR CREDORES NACIONAIS100000000002409411000160</t>
  </si>
  <si>
    <t>213110400'= CONTAS A PAGAR CREDORES NACIONAIS100000000002421421000111</t>
  </si>
  <si>
    <t>213110400'= CONTAS A PAGAR CREDORES NACIONAIS100000000002445332000105</t>
  </si>
  <si>
    <t>213110400'= CONTAS A PAGAR CREDORES NACIONAIS100000000002623638000104</t>
  </si>
  <si>
    <t>213110400'= CONTAS A PAGAR CREDORES NACIONAIS100000000002640010000117</t>
  </si>
  <si>
    <t>213110400'= CONTAS A PAGAR CREDORES NACIONAIS100000000002768278000139</t>
  </si>
  <si>
    <t>213110400'= CONTAS A PAGAR CREDORES NACIONAIS100000000002887124000247</t>
  </si>
  <si>
    <t>213110400'= CONTAS A PAGAR CREDORES NACIONAIS100000000002935467000159</t>
  </si>
  <si>
    <t>213110400'= CONTAS A PAGAR CREDORES NACIONAIS100000000003020839000180</t>
  </si>
  <si>
    <t>213110400'= CONTAS A PAGAR CREDORES NACIONAIS100000000003020839000694</t>
  </si>
  <si>
    <t>213110400'= CONTAS A PAGAR CREDORES NACIONAIS100000000003099750000150</t>
  </si>
  <si>
    <t>213110400'= CONTAS A PAGAR CREDORES NACIONAIS100000000003117534000190</t>
  </si>
  <si>
    <t>213110400'= CONTAS A PAGAR CREDORES NACIONAIS100000000003126678000103</t>
  </si>
  <si>
    <t>213110400'= CONTAS A PAGAR CREDORES NACIONAIS100000000003237583006440</t>
  </si>
  <si>
    <t>213110400'= CONTAS A PAGAR CREDORES NACIONAIS100000000003279285000130</t>
  </si>
  <si>
    <t>213110400'= CONTAS A PAGAR CREDORES NACIONAIS100000000003461165000159</t>
  </si>
  <si>
    <t>213110400'= CONTAS A PAGAR CREDORES NACIONAIS100000000003493782000136</t>
  </si>
  <si>
    <t>213110400'= CONTAS A PAGAR CREDORES NACIONAIS100000000003524632000142</t>
  </si>
  <si>
    <t>213110400'= CONTAS A PAGAR CREDORES NACIONAIS100000000003621389000180</t>
  </si>
  <si>
    <t>213110400'= CONTAS A PAGAR CREDORES NACIONAIS100000000003662454000116</t>
  </si>
  <si>
    <t>213110400'= CONTAS A PAGAR CREDORES NACIONAIS100000000003687812000145</t>
  </si>
  <si>
    <t>213110400'= CONTAS A PAGAR CREDORES NACIONAIS100000000003750757000190</t>
  </si>
  <si>
    <t>213110400'= CONTAS A PAGAR CREDORES NACIONAIS100000000003773700008353</t>
  </si>
  <si>
    <t>213110400'= CONTAS A PAGAR CREDORES NACIONAIS100000000003851171002085</t>
  </si>
  <si>
    <t>213110400'= CONTAS A PAGAR CREDORES NACIONAIS100000000003851171002247</t>
  </si>
  <si>
    <t>213110400'= CONTAS A PAGAR CREDORES NACIONAIS100000000003950991000161</t>
  </si>
  <si>
    <t>213110400'= CONTAS A PAGAR CREDORES NACIONAIS100000000003958504000107</t>
  </si>
  <si>
    <t>213110400'= CONTAS A PAGAR CREDORES NACIONAIS100000000004079384000130</t>
  </si>
  <si>
    <t>213110400'= CONTAS A PAGAR CREDORES NACIONAIS100000000004100795000160</t>
  </si>
  <si>
    <t>213110400'= CONTAS A PAGAR CREDORES NACIONAIS100000000004139412000168</t>
  </si>
  <si>
    <t>213110400'= CONTAS A PAGAR CREDORES NACIONAIS100000000004144161000100</t>
  </si>
  <si>
    <t>213110400'= CONTAS A PAGAR CREDORES NACIONAIS100000000004196935000812</t>
  </si>
  <si>
    <t>213110400'= CONTAS A PAGAR CREDORES NACIONAIS100000000004233454000163</t>
  </si>
  <si>
    <t>213110400'= CONTAS A PAGAR CREDORES NACIONAIS100000000004254554000176</t>
  </si>
  <si>
    <t>213110400'= CONTAS A PAGAR CREDORES NACIONAIS100000000004298309000756</t>
  </si>
  <si>
    <t>213110400'= CONTAS A PAGAR CREDORES NACIONAIS100000000004407579000162</t>
  </si>
  <si>
    <t>213110400'= CONTAS A PAGAR CREDORES NACIONAIS100000000004523508000125</t>
  </si>
  <si>
    <t>213110400'= CONTAS A PAGAR CREDORES NACIONAIS100000000004562596000174</t>
  </si>
  <si>
    <t>213110400'= CONTAS A PAGAR CREDORES NACIONAIS100000000004565030000104</t>
  </si>
  <si>
    <t>213110400'= CONTAS A PAGAR CREDORES NACIONAIS100000000004567265000127</t>
  </si>
  <si>
    <t>213110400'= CONTAS A PAGAR CREDORES NACIONAIS100000000004602789000101</t>
  </si>
  <si>
    <t>213110400'= CONTAS A PAGAR CREDORES NACIONAIS100000000004646573000148</t>
  </si>
  <si>
    <t>213110400'= CONTAS A PAGAR CREDORES NACIONAIS100000000004851202000106</t>
  </si>
  <si>
    <t>213110400'= CONTAS A PAGAR CREDORES NACIONAIS100000000004872241000181</t>
  </si>
  <si>
    <t>213110400'= CONTAS A PAGAR CREDORES NACIONAIS100000000004889792000158</t>
  </si>
  <si>
    <t>213110400'= CONTAS A PAGAR CREDORES NACIONAIS100000000004931019000293</t>
  </si>
  <si>
    <t>213110400'= CONTAS A PAGAR CREDORES NACIONAIS100000000005049535000332</t>
  </si>
  <si>
    <t>213110400'= CONTAS A PAGAR CREDORES NACIONAIS100000000005119453000155</t>
  </si>
  <si>
    <t>213110400'= CONTAS A PAGAR CREDORES NACIONAIS100000000005122656000109</t>
  </si>
  <si>
    <t>213110400'= CONTAS A PAGAR CREDORES NACIONAIS100000000005151333000135</t>
  </si>
  <si>
    <t>213110400'= CONTAS A PAGAR CREDORES NACIONAIS100000000005152318000101</t>
  </si>
  <si>
    <t>213110400'= CONTAS A PAGAR CREDORES NACIONAIS100000000005234289000127</t>
  </si>
  <si>
    <t>213110400'= CONTAS A PAGAR CREDORES NACIONAIS100000000005250796000154</t>
  </si>
  <si>
    <t>213110400'= CONTAS A PAGAR CREDORES NACIONAIS100000000005258798000190</t>
  </si>
  <si>
    <t>213110400'= CONTAS A PAGAR CREDORES NACIONAIS100000000005295679000107</t>
  </si>
  <si>
    <t>213110400'= CONTAS A PAGAR CREDORES NACIONAIS100000000005306250000178</t>
  </si>
  <si>
    <t>213110400'= CONTAS A PAGAR CREDORES NACIONAIS100000000005330384000124</t>
  </si>
  <si>
    <t>213110400'= CONTAS A PAGAR CREDORES NACIONAIS100000000005340639000130</t>
  </si>
  <si>
    <t>213110400'= CONTAS A PAGAR CREDORES NACIONAIS100000000005344234000170</t>
  </si>
  <si>
    <t>213110400'= CONTAS A PAGAR CREDORES NACIONAIS100000000005356705000160</t>
  </si>
  <si>
    <t>213110400'= CONTAS A PAGAR CREDORES NACIONAIS100000000005370858000161</t>
  </si>
  <si>
    <t>213110400'= CONTAS A PAGAR CREDORES NACIONAIS100000000005495225000180</t>
  </si>
  <si>
    <t>213110400'= CONTAS A PAGAR CREDORES NACIONAIS100000000005538148000106</t>
  </si>
  <si>
    <t>213110400'= CONTAS A PAGAR CREDORES NACIONAIS100000000005573756000143</t>
  </si>
  <si>
    <t>213110400'= CONTAS A PAGAR CREDORES NACIONAIS100000000005609142000174</t>
  </si>
  <si>
    <t>213110400'= CONTAS A PAGAR CREDORES NACIONAIS100000000005700417000180</t>
  </si>
  <si>
    <t>213110400'= CONTAS A PAGAR CREDORES NACIONAIS100000000005872814000300</t>
  </si>
  <si>
    <t>213110400'= CONTAS A PAGAR CREDORES NACIONAIS100000000005946489000102</t>
  </si>
  <si>
    <t>213110400'= CONTAS A PAGAR CREDORES NACIONAIS100000000005961715000124</t>
  </si>
  <si>
    <t>213110400'= CONTAS A PAGAR CREDORES NACIONAIS100000000006000195000156</t>
  </si>
  <si>
    <t>213110400'= CONTAS A PAGAR CREDORES NACIONAIS100000000006132270000132</t>
  </si>
  <si>
    <t>213110400'= CONTAS A PAGAR CREDORES NACIONAIS100000000006193359000109</t>
  </si>
  <si>
    <t>213110400'= CONTAS A PAGAR CREDORES NACIONAIS100000000006306060000113</t>
  </si>
  <si>
    <t>213110400'= CONTAS A PAGAR CREDORES NACIONAIS100000000006322144000140</t>
  </si>
  <si>
    <t>213110400'= CONTAS A PAGAR CREDORES NACIONAIS100000000006350648000174</t>
  </si>
  <si>
    <t>213110400'= CONTAS A PAGAR CREDORES NACIONAIS100000000006913480000168</t>
  </si>
  <si>
    <t>213110400'= CONTAS A PAGAR CREDORES NACIONAIS100000000006913480000320</t>
  </si>
  <si>
    <t>213110400'= CONTAS A PAGAR CREDORES NACIONAIS100000000006913480002616</t>
  </si>
  <si>
    <t>213110400'= CONTAS A PAGAR CREDORES NACIONAIS100000000006916422000198</t>
  </si>
  <si>
    <t>213110400'= CONTAS A PAGAR CREDORES NACIONAIS100000000007028841000156</t>
  </si>
  <si>
    <t>213110400'= CONTAS A PAGAR CREDORES NACIONAIS100000000007067496000402</t>
  </si>
  <si>
    <t>213110400'= CONTAS A PAGAR CREDORES NACIONAIS100000000007072293000161</t>
  </si>
  <si>
    <t>213110400'= CONTAS A PAGAR CREDORES NACIONAIS100000000007112323000116</t>
  </si>
  <si>
    <t>213110400'= CONTAS A PAGAR CREDORES NACIONAIS100000000007209817000113</t>
  </si>
  <si>
    <t>213110400'= CONTAS A PAGAR CREDORES NACIONAIS100000000007237373000120</t>
  </si>
  <si>
    <t>213110400'= CONTAS A PAGAR CREDORES NACIONAIS100000000007244182000195</t>
  </si>
  <si>
    <t>213110400'= CONTAS A PAGAR CREDORES NACIONAIS100000000007277226000183</t>
  </si>
  <si>
    <t>213110400'= CONTAS A PAGAR CREDORES NACIONAIS100000000007358761000169</t>
  </si>
  <si>
    <t>213110400'= CONTAS A PAGAR CREDORES NACIONAIS100000000007358761001645</t>
  </si>
  <si>
    <t>213110400'= CONTAS A PAGAR CREDORES NACIONAIS100000000007387413000110</t>
  </si>
  <si>
    <t>213110400'= CONTAS A PAGAR CREDORES NACIONAIS100000000007465373000187</t>
  </si>
  <si>
    <t>213110400'= CONTAS A PAGAR CREDORES NACIONAIS100000000007536703000188</t>
  </si>
  <si>
    <t>213110400'= CONTAS A PAGAR CREDORES NACIONAIS100000000007547163000138</t>
  </si>
  <si>
    <t>213110400'= CONTAS A PAGAR CREDORES NACIONAIS100000000007551853000160</t>
  </si>
  <si>
    <t>213110400'= CONTAS A PAGAR CREDORES NACIONAIS100000000007625852000113</t>
  </si>
  <si>
    <t>213110400'= CONTAS A PAGAR CREDORES NACIONAIS100000000007710046000143</t>
  </si>
  <si>
    <t>213110400'= CONTAS A PAGAR CREDORES NACIONAIS100000000007797967000195</t>
  </si>
  <si>
    <t>213110400'= CONTAS A PAGAR CREDORES NACIONAIS100000000007799454000113</t>
  </si>
  <si>
    <t>213110400'= CONTAS A PAGAR CREDORES NACIONAIS100000000007885198000187</t>
  </si>
  <si>
    <t>213110400'= CONTAS A PAGAR CREDORES NACIONAIS100000000007969711000118</t>
  </si>
  <si>
    <t>213110400'= CONTAS A PAGAR CREDORES NACIONAIS100000000008100057000174</t>
  </si>
  <si>
    <t>213110400'= CONTAS A PAGAR CREDORES NACIONAIS100000000008172784000309</t>
  </si>
  <si>
    <t>213110400'= CONTAS A PAGAR CREDORES NACIONAIS100000000008237411000107</t>
  </si>
  <si>
    <t>213110400'= CONTAS A PAGAR CREDORES NACIONAIS100000000008259544000184</t>
  </si>
  <si>
    <t>213110400'= CONTAS A PAGAR CREDORES NACIONAIS100000000008388641000177</t>
  </si>
  <si>
    <t>213110400'= CONTAS A PAGAR CREDORES NACIONAIS100000000008402800000140</t>
  </si>
  <si>
    <t>213110400'= CONTAS A PAGAR CREDORES NACIONAIS100000000008458246000113</t>
  </si>
  <si>
    <t>213110400'= CONTAS A PAGAR CREDORES NACIONAIS100000000008561372000107</t>
  </si>
  <si>
    <t>213110400'= CONTAS A PAGAR CREDORES NACIONAIS100000000008689801000118</t>
  </si>
  <si>
    <t>213110400'= CONTAS A PAGAR CREDORES NACIONAIS100000000008718431000108</t>
  </si>
  <si>
    <t>213110400'= CONTAS A PAGAR CREDORES NACIONAIS100000000008730771000146</t>
  </si>
  <si>
    <t>213110400'= CONTAS A PAGAR CREDORES NACIONAIS100000000008783191000117</t>
  </si>
  <si>
    <t>213110400'= CONTAS A PAGAR CREDORES NACIONAIS100000000008839819000159</t>
  </si>
  <si>
    <t>213110400'= CONTAS A PAGAR CREDORES NACIONAIS100000000008916265000146</t>
  </si>
  <si>
    <t>213110400'= CONTAS A PAGAR CREDORES NACIONAIS100000000008924210000188</t>
  </si>
  <si>
    <t>213110400'= CONTAS A PAGAR CREDORES NACIONAIS100000000008925028000141</t>
  </si>
  <si>
    <t>213110400'= CONTAS A PAGAR CREDORES NACIONAIS100000000009154735000144</t>
  </si>
  <si>
    <t>213110400'= CONTAS A PAGAR CREDORES NACIONAIS100000000009240519000111</t>
  </si>
  <si>
    <t>213110400'= CONTAS A PAGAR CREDORES NACIONAIS100000000009398731000101</t>
  </si>
  <si>
    <t>213110400'= CONTAS A PAGAR CREDORES NACIONAIS100000000009418024000130</t>
  </si>
  <si>
    <t>213110400'= CONTAS A PAGAR CREDORES NACIONAIS100000000009420843000111</t>
  </si>
  <si>
    <t>213110400'= CONTAS A PAGAR CREDORES NACIONAIS100000000009454434000136</t>
  </si>
  <si>
    <t>213110400'= CONTAS A PAGAR CREDORES NACIONAIS100000000009471199000100</t>
  </si>
  <si>
    <t>213110400'= CONTAS A PAGAR CREDORES NACIONAIS100000000009487624000150</t>
  </si>
  <si>
    <t>213110400'= CONTAS A PAGAR CREDORES NACIONAIS100000000009539512000103</t>
  </si>
  <si>
    <t>213110400'= CONTAS A PAGAR CREDORES NACIONAIS100000000009632388000118</t>
  </si>
  <si>
    <t>213110400'= CONTAS A PAGAR CREDORES NACIONAIS100000000009642050000147</t>
  </si>
  <si>
    <t>213110400'= CONTAS A PAGAR CREDORES NACIONAIS100000000010242721000161</t>
  </si>
  <si>
    <t>213110400'= CONTAS A PAGAR CREDORES NACIONAIS100000000010419473000181</t>
  </si>
  <si>
    <t>213110400'= CONTAS A PAGAR CREDORES NACIONAIS100000000010430390000193</t>
  </si>
  <si>
    <t>213110400'= CONTAS A PAGAR CREDORES NACIONAIS100000000010493362000115</t>
  </si>
  <si>
    <t>213110400'= CONTAS A PAGAR CREDORES NACIONAIS100000000010494892000188</t>
  </si>
  <si>
    <t>213110400'= CONTAS A PAGAR CREDORES NACIONAIS100000000010498974000281</t>
  </si>
  <si>
    <t>213110400'= CONTAS A PAGAR CREDORES NACIONAIS100000000010546779000107</t>
  </si>
  <si>
    <t>213110400'= CONTAS A PAGAR CREDORES NACIONAIS100000000010573521000191</t>
  </si>
  <si>
    <t>213110400'= CONTAS A PAGAR CREDORES NACIONAIS100000000010656610000100</t>
  </si>
  <si>
    <t>213110400'= CONTAS A PAGAR CREDORES NACIONAIS100000000010869961000190</t>
  </si>
  <si>
    <t>213110400'= CONTAS A PAGAR CREDORES NACIONAIS100000000010876608000138</t>
  </si>
  <si>
    <t>213110400'= CONTAS A PAGAR CREDORES NACIONAIS100000000010894768000100</t>
  </si>
  <si>
    <t>213110400'= CONTAS A PAGAR CREDORES NACIONAIS100000000010942831000136</t>
  </si>
  <si>
    <t>213110400'= CONTAS A PAGAR CREDORES NACIONAIS100000000010987661000106</t>
  </si>
  <si>
    <t>213110400'= CONTAS A PAGAR CREDORES NACIONAIS100000000010992676000162</t>
  </si>
  <si>
    <t>213110400'= CONTAS A PAGAR CREDORES NACIONAIS100000000011098189000113</t>
  </si>
  <si>
    <t>213110400'= CONTAS A PAGAR CREDORES NACIONAIS100000000011319574000143</t>
  </si>
  <si>
    <t>213110400'= CONTAS A PAGAR CREDORES NACIONAIS100000000011394929000169</t>
  </si>
  <si>
    <t>213110400'= CONTAS A PAGAR CREDORES NACIONAIS100000000011395635000151</t>
  </si>
  <si>
    <t>213110400'= CONTAS A PAGAR CREDORES NACIONAIS100000000011440967000100</t>
  </si>
  <si>
    <t>213110400'= CONTAS A PAGAR CREDORES NACIONAIS100000000011493926000182</t>
  </si>
  <si>
    <t>213110400'= CONTAS A PAGAR CREDORES NACIONAIS100000000011494302000180</t>
  </si>
  <si>
    <t>213110400'= CONTAS A PAGAR CREDORES NACIONAIS100000000011509243000176</t>
  </si>
  <si>
    <t>213110400'= CONTAS A PAGAR CREDORES NACIONAIS100000000011699534000174</t>
  </si>
  <si>
    <t>213110400'= CONTAS A PAGAR CREDORES NACIONAIS100000000011880336000102</t>
  </si>
  <si>
    <t>213110400'= CONTAS A PAGAR CREDORES NACIONAIS100000000011953410000173</t>
  </si>
  <si>
    <t>213110400'= CONTAS A PAGAR CREDORES NACIONAIS100000000011994821000107</t>
  </si>
  <si>
    <t>213110400'= CONTAS A PAGAR CREDORES NACIONAIS100000000012397383000162</t>
  </si>
  <si>
    <t>213110400'= CONTAS A PAGAR CREDORES NACIONAIS100000000012698563000184</t>
  </si>
  <si>
    <t>213110400'= CONTAS A PAGAR CREDORES NACIONAIS100000000012788962000136</t>
  </si>
  <si>
    <t>213110400'= CONTAS A PAGAR CREDORES NACIONAIS100000000012823801000136</t>
  </si>
  <si>
    <t>213110400'= CONTAS A PAGAR CREDORES NACIONAIS100000000013064755000100</t>
  </si>
  <si>
    <t>213110400'= CONTAS A PAGAR CREDORES NACIONAIS100000000013123723000120</t>
  </si>
  <si>
    <t>213110400'= CONTAS A PAGAR CREDORES NACIONAIS100000000013185652000190</t>
  </si>
  <si>
    <t>213110400'= CONTAS A PAGAR CREDORES NACIONAIS100000000013336262000173</t>
  </si>
  <si>
    <t>213110400'= CONTAS A PAGAR CREDORES NACIONAIS100000000013530388000184</t>
  </si>
  <si>
    <t>213110400'= CONTAS A PAGAR CREDORES NACIONAIS100000000013556409000130</t>
  </si>
  <si>
    <t>213110400'= CONTAS A PAGAR CREDORES NACIONAIS100000000013743336000196</t>
  </si>
  <si>
    <t>213110400'= CONTAS A PAGAR CREDORES NACIONAIS100000000013767262000128</t>
  </si>
  <si>
    <t>213110400'= CONTAS A PAGAR CREDORES NACIONAIS100000000013830495000128</t>
  </si>
  <si>
    <t>213110400'= CONTAS A PAGAR CREDORES NACIONAIS100000000013859951000162</t>
  </si>
  <si>
    <t>213110400'= CONTAS A PAGAR CREDORES NACIONAIS100000000014032574000156</t>
  </si>
  <si>
    <t>213110400'= CONTAS A PAGAR CREDORES NACIONAIS100000000014032574000237</t>
  </si>
  <si>
    <t>213110400'= CONTAS A PAGAR CREDORES NACIONAIS100000000014108596000152</t>
  </si>
  <si>
    <t>213110400'= CONTAS A PAGAR CREDORES NACIONAIS100000000014168269000196</t>
  </si>
  <si>
    <t>213110400'= CONTAS A PAGAR CREDORES NACIONAIS100000000014256315000109</t>
  </si>
  <si>
    <t>213110400'= CONTAS A PAGAR CREDORES NACIONAIS100000000014295832000197</t>
  </si>
  <si>
    <t>213110400'= CONTAS A PAGAR CREDORES NACIONAIS100000000014617721000150</t>
  </si>
  <si>
    <t>213110400'= CONTAS A PAGAR CREDORES NACIONAIS100000000014748386000129</t>
  </si>
  <si>
    <t>213110400'= CONTAS A PAGAR CREDORES NACIONAIS100000000014766523000239</t>
  </si>
  <si>
    <t>213110400'= CONTAS A PAGAR CREDORES NACIONAIS100000000014793395000131</t>
  </si>
  <si>
    <t>213110400'= CONTAS A PAGAR CREDORES NACIONAIS100000000014950590000128</t>
  </si>
  <si>
    <t>213110400'= CONTAS A PAGAR CREDORES NACIONAIS100000000015207724000188</t>
  </si>
  <si>
    <t>213110400'= CONTAS A PAGAR CREDORES NACIONAIS100000000015583649000150</t>
  </si>
  <si>
    <t>213110400'= CONTAS A PAGAR CREDORES NACIONAIS100000000015669471000164</t>
  </si>
  <si>
    <t>213110400'= CONTAS A PAGAR CREDORES NACIONAIS100000000015809115000107</t>
  </si>
  <si>
    <t>213110400'= CONTAS A PAGAR CREDORES NACIONAIS100000000016457791000113</t>
  </si>
  <si>
    <t>213110400'= CONTAS A PAGAR CREDORES NACIONAIS100000000016727386000178</t>
  </si>
  <si>
    <t>213110400'= CONTAS A PAGAR CREDORES NACIONAIS100000000016897185000119</t>
  </si>
  <si>
    <t>213110400'= CONTAS A PAGAR CREDORES NACIONAIS100000000017194994000127</t>
  </si>
  <si>
    <t>213110400'= CONTAS A PAGAR CREDORES NACIONAIS100000000017204750000188</t>
  </si>
  <si>
    <t>213110400'= CONTAS A PAGAR CREDORES NACIONAIS100000000017227422000105</t>
  </si>
  <si>
    <t>213110400'= CONTAS A PAGAR CREDORES NACIONAIS100000000017252128000145</t>
  </si>
  <si>
    <t>213110400'= CONTAS A PAGAR CREDORES NACIONAIS100000000017281973001382</t>
  </si>
  <si>
    <t>213110400'= CONTAS A PAGAR CREDORES NACIONAIS100000000017354911000110</t>
  </si>
  <si>
    <t>213110400'= CONTAS A PAGAR CREDORES NACIONAIS100000000017516102000167</t>
  </si>
  <si>
    <t>213110400'= CONTAS A PAGAR CREDORES NACIONAIS100000000017533858000114</t>
  </si>
  <si>
    <t>213110400'= CONTAS A PAGAR CREDORES NACIONAIS100000000017603733000113</t>
  </si>
  <si>
    <t>213110400'= CONTAS A PAGAR CREDORES NACIONAIS100000000017649739000121</t>
  </si>
  <si>
    <t>213110400'= CONTAS A PAGAR CREDORES NACIONAIS100000000017712960000187</t>
  </si>
  <si>
    <t>213110400'= CONTAS A PAGAR CREDORES NACIONAIS100000000017791755000154</t>
  </si>
  <si>
    <t>213110400'= CONTAS A PAGAR CREDORES NACIONAIS100000000017956680000114</t>
  </si>
  <si>
    <t>213110400'= CONTAS A PAGAR CREDORES NACIONAIS100000000018133018000127</t>
  </si>
  <si>
    <t>213110400'= CONTAS A PAGAR CREDORES NACIONAIS100000000018182845000100</t>
  </si>
  <si>
    <t>213110400'= CONTAS A PAGAR CREDORES NACIONAIS100000000018236848000180</t>
  </si>
  <si>
    <t>213110400'= CONTAS A PAGAR CREDORES NACIONAIS100000000018300438000150</t>
  </si>
  <si>
    <t>213110400'= CONTAS A PAGAR CREDORES NACIONAIS100000000018376837000103</t>
  </si>
  <si>
    <t>213110400'= CONTAS A PAGAR CREDORES NACIONAIS100000000018548151000144</t>
  </si>
  <si>
    <t>213110400'= CONTAS A PAGAR CREDORES NACIONAIS100000000018631695000175</t>
  </si>
  <si>
    <t>213110400'= CONTAS A PAGAR CREDORES NACIONAIS100000000018659241000102</t>
  </si>
  <si>
    <t>213110400'= CONTAS A PAGAR CREDORES NACIONAIS100000000018674896000150</t>
  </si>
  <si>
    <t>213110400'= CONTAS A PAGAR CREDORES NACIONAIS100000000018754751000169</t>
  </si>
  <si>
    <t>213110400'= CONTAS A PAGAR CREDORES NACIONAIS100000000018799897000120</t>
  </si>
  <si>
    <t>213110400'= CONTAS A PAGAR CREDORES NACIONAIS100000000018919520000168</t>
  </si>
  <si>
    <t>213110400'= CONTAS A PAGAR CREDORES NACIONAIS100000000018957047000103</t>
  </si>
  <si>
    <t>213110400'= CONTAS A PAGAR CREDORES NACIONAIS100000000019011825000130</t>
  </si>
  <si>
    <t>213110400'= CONTAS A PAGAR CREDORES NACIONAIS100000000019069562000110</t>
  </si>
  <si>
    <t>213110400'= CONTAS A PAGAR CREDORES NACIONAIS100000000019381800000128</t>
  </si>
  <si>
    <t>213110400'= CONTAS A PAGAR CREDORES NACIONAIS100000000019407219000138</t>
  </si>
  <si>
    <t>213110400'= CONTAS A PAGAR CREDORES NACIONAIS100000000019651088000130</t>
  </si>
  <si>
    <t>213110400'= CONTAS A PAGAR CREDORES NACIONAIS100000000019992356000187</t>
  </si>
  <si>
    <t>213110400'= CONTAS A PAGAR CREDORES NACIONAIS100000000020944156000138</t>
  </si>
  <si>
    <t>213110400'= CONTAS A PAGAR CREDORES NACIONAIS100000000021248983000150</t>
  </si>
  <si>
    <t>213110400'= CONTAS A PAGAR CREDORES NACIONAIS100000000021542648000160</t>
  </si>
  <si>
    <t>213110400'= CONTAS A PAGAR CREDORES NACIONAIS100000000021577007000140</t>
  </si>
  <si>
    <t>213110400'= CONTAS A PAGAR CREDORES NACIONAIS100000000021579468000152</t>
  </si>
  <si>
    <t>213110400'= CONTAS A PAGAR CREDORES NACIONAIS100000000021592185000140</t>
  </si>
  <si>
    <t>213110400'= CONTAS A PAGAR CREDORES NACIONAIS100000000021748532000181</t>
  </si>
  <si>
    <t>213110400'= CONTAS A PAGAR CREDORES NACIONAIS100000000021948551000151</t>
  </si>
  <si>
    <t>213110400'= CONTAS A PAGAR CREDORES NACIONAIS100000000021993683000103</t>
  </si>
  <si>
    <t>213110400'= CONTAS A PAGAR CREDORES NACIONAIS100000000022045323000134</t>
  </si>
  <si>
    <t>213110400'= CONTAS A PAGAR CREDORES NACIONAIS100000000022085520000268</t>
  </si>
  <si>
    <t>213110400'= CONTAS A PAGAR CREDORES NACIONAIS100000000022166193000198</t>
  </si>
  <si>
    <t>213110400'= CONTAS A PAGAR CREDORES NACIONAIS100000000022350108000147</t>
  </si>
  <si>
    <t>213110400'= CONTAS A PAGAR CREDORES NACIONAIS100000000022389872000126</t>
  </si>
  <si>
    <t>213110400'= CONTAS A PAGAR CREDORES NACIONAIS100000000022416412000140</t>
  </si>
  <si>
    <t>213110400'= CONTAS A PAGAR CREDORES NACIONAIS100000000022478355000123</t>
  </si>
  <si>
    <t>213110400'= CONTAS A PAGAR CREDORES NACIONAIS100000000022581049000118</t>
  </si>
  <si>
    <t>213110400'= CONTAS A PAGAR CREDORES NACIONAIS100000000022584068000106</t>
  </si>
  <si>
    <t>213110400'= CONTAS A PAGAR CREDORES NACIONAIS100000000022683508000174</t>
  </si>
  <si>
    <t>213110400'= CONTAS A PAGAR CREDORES NACIONAIS100000000022966860000117</t>
  </si>
  <si>
    <t>213110400'= CONTAS A PAGAR CREDORES NACIONAIS100000000023361387000107</t>
  </si>
  <si>
    <t>213110400'= CONTAS A PAGAR CREDORES NACIONAIS100000000023439828000146</t>
  </si>
  <si>
    <t>213110400'= CONTAS A PAGAR CREDORES NACIONAIS100000000023686302000160</t>
  </si>
  <si>
    <t>213110400'= CONTAS A PAGAR CREDORES NACIONAIS100000000023746293000156</t>
  </si>
  <si>
    <t>213110400'= CONTAS A PAGAR CREDORES NACIONAIS100000000023791906000177</t>
  </si>
  <si>
    <t>213110400'= CONTAS A PAGAR CREDORES NACIONAIS100000000023886982000166</t>
  </si>
  <si>
    <t>213110400'= CONTAS A PAGAR CREDORES NACIONAIS100000000023936600000323</t>
  </si>
  <si>
    <t>213110400'= CONTAS A PAGAR CREDORES NACIONAIS100000000024239418000114</t>
  </si>
  <si>
    <t>213110400'= CONTAS A PAGAR CREDORES NACIONAIS100000000024285301000177</t>
  </si>
  <si>
    <t>213110400'= CONTAS A PAGAR CREDORES NACIONAIS100000000024868850000174</t>
  </si>
  <si>
    <t>213110400'= CONTAS A PAGAR CREDORES NACIONAIS100000000025229713000152</t>
  </si>
  <si>
    <t>213110400'= CONTAS A PAGAR CREDORES NACIONAIS100000000026107974000162</t>
  </si>
  <si>
    <t>213110400'= CONTAS A PAGAR CREDORES NACIONAIS100000000026408191000119</t>
  </si>
  <si>
    <t>213110400'= CONTAS A PAGAR CREDORES NACIONAIS100000000026423448000101</t>
  </si>
  <si>
    <t>213110400'= CONTAS A PAGAR CREDORES NACIONAIS100000000026584092000198</t>
  </si>
  <si>
    <t>213110400'= CONTAS A PAGAR CREDORES NACIONAIS100000000026775745000116</t>
  </si>
  <si>
    <t>213110400'= CONTAS A PAGAR CREDORES NACIONAIS100000000026824426000153</t>
  </si>
  <si>
    <t>213110400'= CONTAS A PAGAR CREDORES NACIONAIS100000000026855539000116</t>
  </si>
  <si>
    <t>213110400'= CONTAS A PAGAR CREDORES NACIONAIS100000000027017797000196</t>
  </si>
  <si>
    <t>213110400'= CONTAS A PAGAR CREDORES NACIONAIS100000000027128867000183</t>
  </si>
  <si>
    <t>213110400'= CONTAS A PAGAR CREDORES NACIONAIS100000000027128875000120</t>
  </si>
  <si>
    <t>213110400'= CONTAS A PAGAR CREDORES NACIONAIS100000000027466469000177</t>
  </si>
  <si>
    <t>213110400'= CONTAS A PAGAR CREDORES NACIONAIS100000000027505482000198</t>
  </si>
  <si>
    <t>213110400'= CONTAS A PAGAR CREDORES NACIONAIS100000000027612233000100</t>
  </si>
  <si>
    <t>213110400'= CONTAS A PAGAR CREDORES NACIONAIS100000000027677952000109</t>
  </si>
  <si>
    <t>213110400'= CONTAS A PAGAR CREDORES NACIONAIS100000000027830827000189</t>
  </si>
  <si>
    <t>213110400'= CONTAS A PAGAR CREDORES NACIONAIS100000000027863570000161</t>
  </si>
  <si>
    <t>213110400'= CONTAS A PAGAR CREDORES NACIONAIS100000000027907518000160</t>
  </si>
  <si>
    <t>213110400'= CONTAS A PAGAR CREDORES NACIONAIS100000000027911962000159</t>
  </si>
  <si>
    <t>213110400'= CONTAS A PAGAR CREDORES NACIONAIS100000000028286490000153</t>
  </si>
  <si>
    <t>213110400'= CONTAS A PAGAR CREDORES NACIONAIS100000000028383198000159</t>
  </si>
  <si>
    <t>213110400'= CONTAS A PAGAR CREDORES NACIONAIS100000000028389135000100</t>
  </si>
  <si>
    <t>213110400'= CONTAS A PAGAR CREDORES NACIONAIS100000000028416105000579</t>
  </si>
  <si>
    <t>213110400'= CONTAS A PAGAR CREDORES NACIONAIS100000000028477946000162</t>
  </si>
  <si>
    <t>213110400'= CONTAS A PAGAR CREDORES NACIONAIS100000000028489831000198</t>
  </si>
  <si>
    <t>213110400'= CONTAS A PAGAR CREDORES NACIONAIS100000000028503351000134</t>
  </si>
  <si>
    <t>213110400'= CONTAS A PAGAR CREDORES NACIONAIS100000000028503548000173</t>
  </si>
  <si>
    <t>213110400'= CONTAS A PAGAR CREDORES NACIONAIS100000000028542017000190</t>
  </si>
  <si>
    <t>213110400'= CONTAS A PAGAR CREDORES NACIONAIS100000000028625531000270</t>
  </si>
  <si>
    <t>213110400'= CONTAS A PAGAR CREDORES NACIONAIS100000000028703478000105</t>
  </si>
  <si>
    <t>213110400'= CONTAS A PAGAR CREDORES NACIONAIS100000000029067296000140</t>
  </si>
  <si>
    <t>213110400'= CONTAS A PAGAR CREDORES NACIONAIS100000000029177911000170</t>
  </si>
  <si>
    <t>213110400'= CONTAS A PAGAR CREDORES NACIONAIS100000000029782634000125</t>
  </si>
  <si>
    <t>213110400'= CONTAS A PAGAR CREDORES NACIONAIS100000000029799921000300</t>
  </si>
  <si>
    <t>213110400'= CONTAS A PAGAR CREDORES NACIONAIS100000000029799921000490</t>
  </si>
  <si>
    <t>213110400'= CONTAS A PAGAR CREDORES NACIONAIS100000000029912565000127</t>
  </si>
  <si>
    <t>213110400'= CONTAS A PAGAR CREDORES NACIONAIS100000000029935657000122</t>
  </si>
  <si>
    <t>213110400'= CONTAS A PAGAR CREDORES NACIONAIS100000000029951996000100</t>
  </si>
  <si>
    <t>213110400'= CONTAS A PAGAR CREDORES NACIONAIS100000000029990127000187</t>
  </si>
  <si>
    <t>213110400'= CONTAS A PAGAR CREDORES NACIONAIS100000000029999597000101</t>
  </si>
  <si>
    <t>213110400'= CONTAS A PAGAR CREDORES NACIONAIS100000000030020705000131</t>
  </si>
  <si>
    <t>213110400'= CONTAS A PAGAR CREDORES NACIONAIS100000000030194450000123</t>
  </si>
  <si>
    <t>213110400'= CONTAS A PAGAR CREDORES NACIONAIS100000000030246615000406</t>
  </si>
  <si>
    <t>213110400'= CONTAS A PAGAR CREDORES NACIONAIS100000000030249603000192</t>
  </si>
  <si>
    <t>213110400'= CONTAS A PAGAR CREDORES NACIONAIS100000000030293526000178</t>
  </si>
  <si>
    <t>213110400'= CONTAS A PAGAR CREDORES NACIONAIS100000000030295513000138</t>
  </si>
  <si>
    <t>213110400'= CONTAS A PAGAR CREDORES NACIONAIS100000000030351303000110</t>
  </si>
  <si>
    <t>213110400'= CONTAS A PAGAR CREDORES NACIONAIS100000000030961214000195</t>
  </si>
  <si>
    <t>213110400'= CONTAS A PAGAR CREDORES NACIONAIS100000000031084403000190</t>
  </si>
  <si>
    <t>213110400'= CONTAS A PAGAR CREDORES NACIONAIS100000000031199629000136</t>
  </si>
  <si>
    <t>213110400'= CONTAS A PAGAR CREDORES NACIONAIS100000000031206714000184</t>
  </si>
  <si>
    <t>213110400'= CONTAS A PAGAR CREDORES NACIONAIS100000000031645807000105</t>
  </si>
  <si>
    <t>213110400'= CONTAS A PAGAR CREDORES NACIONAIS100000000031736125000108</t>
  </si>
  <si>
    <t>213110400'= CONTAS A PAGAR CREDORES NACIONAIS100000000031888692000180</t>
  </si>
  <si>
    <t>213110400'= CONTAS A PAGAR CREDORES NACIONAIS100000000031927213000197</t>
  </si>
  <si>
    <t>213110400'= CONTAS A PAGAR CREDORES NACIONAIS100000000031978612000187</t>
  </si>
  <si>
    <t>213110400'= CONTAS A PAGAR CREDORES NACIONAIS100000000032125858000179</t>
  </si>
  <si>
    <t>213110400'= CONTAS A PAGAR CREDORES NACIONAIS100000000032173395000110</t>
  </si>
  <si>
    <t>213110400'= CONTAS A PAGAR CREDORES NACIONAIS100000000032185480000875</t>
  </si>
  <si>
    <t>213110400'= CONTAS A PAGAR CREDORES NACIONAIS100000000032223836000141</t>
  </si>
  <si>
    <t>213110400'= CONTAS A PAGAR CREDORES NACIONAIS100000000032243420000195</t>
  </si>
  <si>
    <t>213110400'= CONTAS A PAGAR CREDORES NACIONAIS100000000032264764000180</t>
  </si>
  <si>
    <t>213110400'= CONTAS A PAGAR CREDORES NACIONAIS100000000032676570000192</t>
  </si>
  <si>
    <t>213110400'= CONTAS A PAGAR CREDORES NACIONAIS100000000032683520000132</t>
  </si>
  <si>
    <t>213110400'= CONTAS A PAGAR CREDORES NACIONAIS100000000032800531000155</t>
  </si>
  <si>
    <t>213110400'= CONTAS A PAGAR CREDORES NACIONAIS100000000032865668000198</t>
  </si>
  <si>
    <t>213110400'= CONTAS A PAGAR CREDORES NACIONAIS100000000033000167000101</t>
  </si>
  <si>
    <t>213110400'= CONTAS A PAGAR CREDORES NACIONAIS100000000033003194000138</t>
  </si>
  <si>
    <t>213110400'= CONTAS A PAGAR CREDORES NACIONAIS100000000033049412000841</t>
  </si>
  <si>
    <t>213110400'= CONTAS A PAGAR CREDORES NACIONAIS100000000033054412000597</t>
  </si>
  <si>
    <t>213110400'= CONTAS A PAGAR CREDORES NACIONAIS100000000033087859000139</t>
  </si>
  <si>
    <t>213110400'= CONTAS A PAGAR CREDORES NACIONAIS100000000033097536000126</t>
  </si>
  <si>
    <t>213110400'= CONTAS A PAGAR CREDORES NACIONAIS100000000033102138000150</t>
  </si>
  <si>
    <t>213110400'= CONTAS A PAGAR CREDORES NACIONAIS100000000033149502000138</t>
  </si>
  <si>
    <t>213110400'= CONTAS A PAGAR CREDORES NACIONAIS100000000033182809007143</t>
  </si>
  <si>
    <t>213110400'= CONTAS A PAGAR CREDORES NACIONAIS100000000033210491000154</t>
  </si>
  <si>
    <t>213110400'= CONTAS A PAGAR CREDORES NACIONAIS100000000033212829000107</t>
  </si>
  <si>
    <t>213110400'= CONTAS A PAGAR CREDORES NACIONAIS100000000033220880000160</t>
  </si>
  <si>
    <t>213110400'= CONTAS A PAGAR CREDORES NACIONAIS100000000033325184002243</t>
  </si>
  <si>
    <t>213110400'= CONTAS A PAGAR CREDORES NACIONAIS100000000033337007000152</t>
  </si>
  <si>
    <t>213110400'= CONTAS A PAGAR CREDORES NACIONAIS100000000033345683000178</t>
  </si>
  <si>
    <t>213110400'= CONTAS A PAGAR CREDORES NACIONAIS100000000033383361000113</t>
  </si>
  <si>
    <t>213110400'= CONTAS A PAGAR CREDORES NACIONAIS100000000033400884000120</t>
  </si>
  <si>
    <t>213110400'= CONTAS A PAGAR CREDORES NACIONAIS100000000033402892000106</t>
  </si>
  <si>
    <t>213110400'= CONTAS A PAGAR CREDORES NACIONAIS100000000033449007000144</t>
  </si>
  <si>
    <t>213110400'= CONTAS A PAGAR CREDORES NACIONAIS100000000033480310000100</t>
  </si>
  <si>
    <t>213110400'= CONTAS A PAGAR CREDORES NACIONAIS100000000033575585000127</t>
  </si>
  <si>
    <t>213110400'= CONTAS A PAGAR CREDORES NACIONAIS100000000033584955000192</t>
  </si>
  <si>
    <t>213110400'= CONTAS A PAGAR CREDORES NACIONAIS100000000033634254000110</t>
  </si>
  <si>
    <t>213110400'= CONTAS A PAGAR CREDORES NACIONAIS100000000033636523000188</t>
  </si>
  <si>
    <t>213110400'= CONTAS A PAGAR CREDORES NACIONAIS100000000033641663000144</t>
  </si>
  <si>
    <t>213110400'= CONTAS A PAGAR CREDORES NACIONAIS100000000033641663000306</t>
  </si>
  <si>
    <t>213110400'= CONTAS A PAGAR CREDORES NACIONAIS100000000033746475000180</t>
  </si>
  <si>
    <t>213110400'= CONTAS A PAGAR CREDORES NACIONAIS100000000033773507000137</t>
  </si>
  <si>
    <t>213110400'= CONTAS A PAGAR CREDORES NACIONAIS100000000033806148000177</t>
  </si>
  <si>
    <t>213110400'= CONTAS A PAGAR CREDORES NACIONAIS100000000033947102000178</t>
  </si>
  <si>
    <t>213110400'= CONTAS A PAGAR CREDORES NACIONAIS100000000033988536000116</t>
  </si>
  <si>
    <t>213110400'= CONTAS A PAGAR CREDORES NACIONAIS100000000034028316000294</t>
  </si>
  <si>
    <t>213110400'= CONTAS A PAGAR CREDORES NACIONAIS100000000034028983000196</t>
  </si>
  <si>
    <t>213110400'= CONTAS A PAGAR CREDORES NACIONAIS100000000034148330000140</t>
  </si>
  <si>
    <t>213110400'= CONTAS A PAGAR CREDORES NACIONAIS100000000034154647000190</t>
  </si>
  <si>
    <t>213110400'= CONTAS A PAGAR CREDORES NACIONAIS100000000034163329000195</t>
  </si>
  <si>
    <t>213110400'= CONTAS A PAGAR CREDORES NACIONAIS100000000034260596000180</t>
  </si>
  <si>
    <t>213110400'= CONTAS A PAGAR CREDORES NACIONAIS100000000034382988000112</t>
  </si>
  <si>
    <t>213110400'= CONTAS A PAGAR CREDORES NACIONAIS100000000034638332000118</t>
  </si>
  <si>
    <t>213110400'= CONTAS A PAGAR CREDORES NACIONAIS100000000034682052000107</t>
  </si>
  <si>
    <t>213110400'= CONTAS A PAGAR CREDORES NACIONAIS100000000034776007000111</t>
  </si>
  <si>
    <t>213110400'= CONTAS A PAGAR CREDORES NACIONAIS100000000035045345000146</t>
  </si>
  <si>
    <t>213110400'= CONTAS A PAGAR CREDORES NACIONAIS100000000035322200000145</t>
  </si>
  <si>
    <t>213110400'= CONTAS A PAGAR CREDORES NACIONAIS100000000035497683000119</t>
  </si>
  <si>
    <t>213110400'= CONTAS A PAGAR CREDORES NACIONAIS100000000035717282000127</t>
  </si>
  <si>
    <t>213110400'= CONTAS A PAGAR CREDORES NACIONAIS100000000035794064000196</t>
  </si>
  <si>
    <t>213110400'= CONTAS A PAGAR CREDORES NACIONAIS100000000035820448000721</t>
  </si>
  <si>
    <t>213110400'= CONTAS A PAGAR CREDORES NACIONAIS100000000035914186000179</t>
  </si>
  <si>
    <t>213110400'= CONTAS A PAGAR CREDORES NACIONAIS100000000035963479000146</t>
  </si>
  <si>
    <t>213110400'= CONTAS A PAGAR CREDORES NACIONAIS100000000036026560000162</t>
  </si>
  <si>
    <t>213110400'= CONTAS A PAGAR CREDORES NACIONAIS100000000036241685000105</t>
  </si>
  <si>
    <t>213110400'= CONTAS A PAGAR CREDORES NACIONAIS100000000036541373000117</t>
  </si>
  <si>
    <t>213110400'= CONTAS A PAGAR CREDORES NACIONAIS100000000036682386000106</t>
  </si>
  <si>
    <t>213110400'= CONTAS A PAGAR CREDORES NACIONAIS100000000036924105000184</t>
  </si>
  <si>
    <t>213110400'= CONTAS A PAGAR CREDORES NACIONAIS100000000037092170000153</t>
  </si>
  <si>
    <t>213110400'= CONTAS A PAGAR CREDORES NACIONAIS100000000037180381000148</t>
  </si>
  <si>
    <t>213110400'= CONTAS A PAGAR CREDORES NACIONAIS100000000037227550000158</t>
  </si>
  <si>
    <t>213110400'= CONTAS A PAGAR CREDORES NACIONAIS100000000037629530000103</t>
  </si>
  <si>
    <t>213110400'= CONTAS A PAGAR CREDORES NACIONAIS100000000037683010000189</t>
  </si>
  <si>
    <t>213110400'= CONTAS A PAGAR CREDORES NACIONAIS100000000038046242000199</t>
  </si>
  <si>
    <t>213110400'= CONTAS A PAGAR CREDORES NACIONAIS100000000038503861000165</t>
  </si>
  <si>
    <t>213110400'= CONTAS A PAGAR CREDORES NACIONAIS100000000038771143000170</t>
  </si>
  <si>
    <t>213110400'= CONTAS A PAGAR CREDORES NACIONAIS100000000039162235000115</t>
  </si>
  <si>
    <t>213110400'= CONTAS A PAGAR CREDORES NACIONAIS100000000039270268000189</t>
  </si>
  <si>
    <t>213110400'= CONTAS A PAGAR CREDORES NACIONAIS100000000039763193000178</t>
  </si>
  <si>
    <t>213110400'= CONTAS A PAGAR CREDORES NACIONAIS100000000039891375000124</t>
  </si>
  <si>
    <t>213110400'= CONTAS A PAGAR CREDORES NACIONAIS100000000039896832000173</t>
  </si>
  <si>
    <t>213110400'= CONTAS A PAGAR CREDORES NACIONAIS100000000039906072000138</t>
  </si>
  <si>
    <t>213110400'= CONTAS A PAGAR CREDORES NACIONAIS100000000039906656000103</t>
  </si>
  <si>
    <t>213110400'= CONTAS A PAGAR CREDORES NACIONAIS100000000040178030000107</t>
  </si>
  <si>
    <t>213110400'= CONTAS A PAGAR CREDORES NACIONAIS100000000040206567000133</t>
  </si>
  <si>
    <t>213110400'= CONTAS A PAGAR CREDORES NACIONAIS100000000040213951000163</t>
  </si>
  <si>
    <t>213110400'= CONTAS A PAGAR CREDORES NACIONAIS100000000040220678000102</t>
  </si>
  <si>
    <t>213110400'= CONTAS A PAGAR CREDORES NACIONAIS100000000040261425000179</t>
  </si>
  <si>
    <t>213110400'= CONTAS A PAGAR CREDORES NACIONAIS100000000040263170000850</t>
  </si>
  <si>
    <t>213110400'= CONTAS A PAGAR CREDORES NACIONAIS100000000040282584000150</t>
  </si>
  <si>
    <t>213110400'= CONTAS A PAGAR CREDORES NACIONAIS100000000040409666000112</t>
  </si>
  <si>
    <t>213110400'= CONTAS A PAGAR CREDORES NACIONAIS100000000040587850000152</t>
  </si>
  <si>
    <t>213110400'= CONTAS A PAGAR CREDORES NACIONAIS100000000041171671000100</t>
  </si>
  <si>
    <t>213110400'= CONTAS A PAGAR CREDORES NACIONAIS100000000041224334000126</t>
  </si>
  <si>
    <t>213110400'= CONTAS A PAGAR CREDORES NACIONAIS100000000041298383000103</t>
  </si>
  <si>
    <t>213110400'= CONTAS A PAGAR CREDORES NACIONAIS100000000041450007000192</t>
  </si>
  <si>
    <t>213110400'= CONTAS A PAGAR CREDORES NACIONAIS100000000041777728000101</t>
  </si>
  <si>
    <t>213110400'= CONTAS A PAGAR CREDORES NACIONAIS100000000042004547000105</t>
  </si>
  <si>
    <t>213110400'= CONTAS A PAGAR CREDORES NACIONAIS100000000042092283000199</t>
  </si>
  <si>
    <t>213110400'= CONTAS A PAGAR CREDORES NACIONAIS100000000042113274000137</t>
  </si>
  <si>
    <t>213110400'= CONTAS A PAGAR CREDORES NACIONAIS100000000042161687000197</t>
  </si>
  <si>
    <t>213110400'= CONTAS A PAGAR CREDORES NACIONAIS100000000042168526000125</t>
  </si>
  <si>
    <t>213110400'= CONTAS A PAGAR CREDORES NACIONAIS100000000042235287000189</t>
  </si>
  <si>
    <t>213110400'= CONTAS A PAGAR CREDORES NACIONAIS100000000042266122000174</t>
  </si>
  <si>
    <t>213110400'= CONTAS A PAGAR CREDORES NACIONAIS100000000042270058000103</t>
  </si>
  <si>
    <t>213110400'= CONTAS A PAGAR CREDORES NACIONAIS100000000042277434000183</t>
  </si>
  <si>
    <t>213110400'= CONTAS A PAGAR CREDORES NACIONAIS100000000042283770000139</t>
  </si>
  <si>
    <t>213110400'= CONTAS A PAGAR CREDORES NACIONAIS100000000042292007000174</t>
  </si>
  <si>
    <t>213110400'= CONTAS A PAGAR CREDORES NACIONAIS100000000042366302000128</t>
  </si>
  <si>
    <t>213110400'= CONTAS A PAGAR CREDORES NACIONAIS100000000042929850000119</t>
  </si>
  <si>
    <t>213110400'= CONTAS A PAGAR CREDORES NACIONAIS100000000043111677000100</t>
  </si>
  <si>
    <t>213110400'= CONTAS A PAGAR CREDORES NACIONAIS100000000043197792000220</t>
  </si>
  <si>
    <t>213110400'= CONTAS A PAGAR CREDORES NACIONAIS100000000043283811001202</t>
  </si>
  <si>
    <t>213110400'= CONTAS A PAGAR CREDORES NACIONAIS100000000043354998000135</t>
  </si>
  <si>
    <t>213110400'= CONTAS A PAGAR CREDORES NACIONAIS100000000043843358000512</t>
  </si>
  <si>
    <t>213110400'= CONTAS A PAGAR CREDORES NACIONAIS100000000043919968000986</t>
  </si>
  <si>
    <t>213110400'= CONTAS A PAGAR CREDORES NACIONAIS100000000044073971000137</t>
  </si>
  <si>
    <t>213110400'= CONTAS A PAGAR CREDORES NACIONAIS100000000044108836000180</t>
  </si>
  <si>
    <t>213110400'= CONTAS A PAGAR CREDORES NACIONAIS100000000044140855000193</t>
  </si>
  <si>
    <t>213110400'= CONTAS A PAGAR CREDORES NACIONAIS100000000044386134000168</t>
  </si>
  <si>
    <t>213110400'= CONTAS A PAGAR CREDORES NACIONAIS100000000044669141000177</t>
  </si>
  <si>
    <t>213110400'= CONTAS A PAGAR CREDORES NACIONAIS100000000044673184000126</t>
  </si>
  <si>
    <t>213110400'= CONTAS A PAGAR CREDORES NACIONAIS100000000044745648000162</t>
  </si>
  <si>
    <t>213110400'= CONTAS A PAGAR CREDORES NACIONAIS100000000044825501000182</t>
  </si>
  <si>
    <t>213110400'= CONTAS A PAGAR CREDORES NACIONAIS100000000045182736000166</t>
  </si>
  <si>
    <t>213110400'= CONTAS A PAGAR CREDORES NACIONAIS100000000045394805000103</t>
  </si>
  <si>
    <t>213110400'= CONTAS A PAGAR CREDORES NACIONAIS100000000045872579000110</t>
  </si>
  <si>
    <t>213110400'= CONTAS A PAGAR CREDORES NACIONAIS100000000046202155000101</t>
  </si>
  <si>
    <t>213110400'= CONTAS A PAGAR CREDORES NACIONAIS100000000046390209000100</t>
  </si>
  <si>
    <t>213110400'= CONTAS A PAGAR CREDORES NACIONAIS100000000046408305000138</t>
  </si>
  <si>
    <t>213110400'= CONTAS A PAGAR CREDORES NACIONAIS100000000046533808000135</t>
  </si>
  <si>
    <t>213110400'= CONTAS A PAGAR CREDORES NACIONAIS100000000047291735000185</t>
  </si>
  <si>
    <t>213110400'= CONTAS A PAGAR CREDORES NACIONAIS100000000047657354000177</t>
  </si>
  <si>
    <t>213110400'= CONTAS A PAGAR CREDORES NACIONAIS100000000048180391000108</t>
  </si>
  <si>
    <t>213110400'= CONTAS A PAGAR CREDORES NACIONAIS100000000048241169000160</t>
  </si>
  <si>
    <t>213110400'= CONTAS A PAGAR CREDORES NACIONAIS100000000048292348000126</t>
  </si>
  <si>
    <t>213110400'= CONTAS A PAGAR CREDORES NACIONAIS100000000048411373000181</t>
  </si>
  <si>
    <t>213110400'= CONTAS A PAGAR CREDORES NACIONAIS100000000048747499000121</t>
  </si>
  <si>
    <t>213110400'= CONTAS A PAGAR CREDORES NACIONAIS100000000049779300000100</t>
  </si>
  <si>
    <t>213110400'= CONTAS A PAGAR CREDORES NACIONAIS100000000050164115000190</t>
  </si>
  <si>
    <t>213110400'= CONTAS A PAGAR CREDORES NACIONAIS100000000050199872000107</t>
  </si>
  <si>
    <t>213110400'= CONTAS A PAGAR CREDORES NACIONAIS100000000050258623000137</t>
  </si>
  <si>
    <t>213110400'= CONTAS A PAGAR CREDORES NACIONAIS100000000050400407000184</t>
  </si>
  <si>
    <t>213110400'= CONTAS A PAGAR CREDORES NACIONAIS100000000050892934000153</t>
  </si>
  <si>
    <t>213110400'= CONTAS A PAGAR CREDORES NACIONAIS100000000051733129000140</t>
  </si>
  <si>
    <t>213110400'= CONTAS A PAGAR CREDORES NACIONAIS100000000052704921000139</t>
  </si>
  <si>
    <t>213110400'= CONTAS A PAGAR CREDORES NACIONAIS100000000053910899000146</t>
  </si>
  <si>
    <t>213110400'= CONTAS A PAGAR CREDORES NACIONAIS100000000054967989000136</t>
  </si>
  <si>
    <t>213110400'= CONTAS A PAGAR CREDORES NACIONAIS100000000054999438000154</t>
  </si>
  <si>
    <t>213110400'= CONTAS A PAGAR CREDORES NACIONAIS100000000055616429000108</t>
  </si>
  <si>
    <t>213110400'= CONTAS A PAGAR CREDORES NACIONAIS100000000057055352000161</t>
  </si>
  <si>
    <t>213110400'= CONTAS A PAGAR CREDORES NACIONAIS100000000057158057000645</t>
  </si>
  <si>
    <t>213110400'= CONTAS A PAGAR CREDORES NACIONAIS100000000057599581000147</t>
  </si>
  <si>
    <t>213110400'= CONTAS A PAGAR CREDORES NACIONAIS100000000057643645000402</t>
  </si>
  <si>
    <t>213110400'= CONTAS A PAGAR CREDORES NACIONAIS100000000057910325000129</t>
  </si>
  <si>
    <t>213110400'= CONTAS A PAGAR CREDORES NACIONAIS100000000058368150000132</t>
  </si>
  <si>
    <t>213110400'= CONTAS A PAGAR CREDORES NACIONAIS100000000059618207000177</t>
  </si>
  <si>
    <t>213110400'= CONTAS A PAGAR CREDORES NACIONAIS100000000059704510003027</t>
  </si>
  <si>
    <t>213110400'= CONTAS A PAGAR CREDORES NACIONAIS100000000060010287000162</t>
  </si>
  <si>
    <t>213110400'= CONTAS A PAGAR CREDORES NACIONAIS100000000060191616000119</t>
  </si>
  <si>
    <t>213110400'= CONTAS A PAGAR CREDORES NACIONAIS100000000060444437000146</t>
  </si>
  <si>
    <t>213110400'= CONTAS A PAGAR CREDORES NACIONAIS100000000060561719009775</t>
  </si>
  <si>
    <t>213110400'= CONTAS A PAGAR CREDORES NACIONAIS100000000060603461000180</t>
  </si>
  <si>
    <t>213110400'= CONTAS A PAGAR CREDORES NACIONAIS100000000060633674000155</t>
  </si>
  <si>
    <t>213110400'= CONTAS A PAGAR CREDORES NACIONAIS100000000060985017000177</t>
  </si>
  <si>
    <t>213110400'= CONTAS A PAGAR CREDORES NACIONAIS100000000061055661000109</t>
  </si>
  <si>
    <t>213110400'= CONTAS A PAGAR CREDORES NACIONAIS100000000061067906000118</t>
  </si>
  <si>
    <t>213110400'= CONTAS A PAGAR CREDORES NACIONAIS100000000061074175000138</t>
  </si>
  <si>
    <t>213110400'= CONTAS A PAGAR CREDORES NACIONAIS100000000061074829001103</t>
  </si>
  <si>
    <t>213110400'= CONTAS A PAGAR CREDORES NACIONAIS100000000061198164000160</t>
  </si>
  <si>
    <t>213110400'= CONTAS A PAGAR CREDORES NACIONAIS100000000061383493000180</t>
  </si>
  <si>
    <t>213110400'= CONTAS A PAGAR CREDORES NACIONAIS100000000061479002000108</t>
  </si>
  <si>
    <t>213110400'= CONTAS A PAGAR CREDORES NACIONAIS100000000061479002000442</t>
  </si>
  <si>
    <t>213110400'= CONTAS A PAGAR CREDORES NACIONAIS100000000061514444000130</t>
  </si>
  <si>
    <t>213110400'= CONTAS A PAGAR CREDORES NACIONAIS100000000061936522000194</t>
  </si>
  <si>
    <t>213110400'= CONTAS A PAGAR CREDORES NACIONAIS100000000062312426000138</t>
  </si>
  <si>
    <t>213110400'= CONTAS A PAGAR CREDORES NACIONAIS100000000062444153000185</t>
  </si>
  <si>
    <t>213110400'= CONTAS A PAGAR CREDORES NACIONAIS100000000062460290000103</t>
  </si>
  <si>
    <t>213110400'= CONTAS A PAGAR CREDORES NACIONAIS100000000062576749000139</t>
  </si>
  <si>
    <t>213110400'= CONTAS A PAGAR CREDORES NACIONAIS100000000062927330000184</t>
  </si>
  <si>
    <t>213110400'= CONTAS A PAGAR CREDORES NACIONAIS100000000063034847000107</t>
  </si>
  <si>
    <t>213110400'= CONTAS A PAGAR CREDORES NACIONAIS100000000065494742000166</t>
  </si>
  <si>
    <t>213110400'= CONTAS A PAGAR CREDORES NACIONAIS100000000066018441000129</t>
  </si>
  <si>
    <t>213110400'= CONTAS A PAGAR CREDORES NACIONAIS100000000067003673000176</t>
  </si>
  <si>
    <t>213110400'= CONTAS A PAGAR CREDORES NACIONAIS100000000067423111000181</t>
  </si>
  <si>
    <t>213110400'= CONTAS A PAGAR CREDORES NACIONAIS100000000068976844000106</t>
  </si>
  <si>
    <t>213110400'= CONTAS A PAGAR CREDORES NACIONAIS100000000069113322000143</t>
  </si>
  <si>
    <t>213110400'= CONTAS A PAGAR CREDORES NACIONAIS100000000069163970000104</t>
  </si>
  <si>
    <t>213110400'= CONTAS A PAGAR CREDORES NACIONAIS100000000069275337000108</t>
  </si>
  <si>
    <t>213110400'= CONTAS A PAGAR CREDORES NACIONAIS100000000071208516000174</t>
  </si>
  <si>
    <t>213110400'= CONTAS A PAGAR CREDORES NACIONAIS100000000072063654000256</t>
  </si>
  <si>
    <t>213110400'= CONTAS A PAGAR CREDORES NACIONAIS100000000072368012000184</t>
  </si>
  <si>
    <t>213110400'= CONTAS A PAGAR CREDORES NACIONAIS100000000072734791000194</t>
  </si>
  <si>
    <t>213110400'= CONTAS A PAGAR CREDORES NACIONAIS100000000073193211000161</t>
  </si>
  <si>
    <t>213110400'= CONTAS A PAGAR CREDORES NACIONAIS100000000073239675000161</t>
  </si>
  <si>
    <t>213110400'= CONTAS A PAGAR CREDORES NACIONAIS100000000073508350000137</t>
  </si>
  <si>
    <t>213110400'= CONTAS A PAGAR CREDORES NACIONAIS100000000074184128000199</t>
  </si>
  <si>
    <t>213110400'= CONTAS A PAGAR CREDORES NACIONAIS100000000076535764000143</t>
  </si>
  <si>
    <t>213110400'= CONTAS A PAGAR CREDORES NACIONAIS100000000080051824000987</t>
  </si>
  <si>
    <t>213110400'= CONTAS A PAGAR CREDORES NACIONAIS100000000081327066000273</t>
  </si>
  <si>
    <t>213110400'= CONTAS A PAGAR CREDORES NACIONAIS100000000081329823000167</t>
  </si>
  <si>
    <t>213110400'= CONTAS A PAGAR CREDORES NACIONAIS100000000087252045000131</t>
  </si>
  <si>
    <t>213110400'= CONTAS A PAGAR CREDORES NACIONAIS100000000087389086000174</t>
  </si>
  <si>
    <t>213110400'= CONTAS A PAGAR CREDORES NACIONAIS100000000088020102000110</t>
  </si>
  <si>
    <t>213110400'= CONTAS A PAGAR CREDORES NACIONAIS100000000090278565000128</t>
  </si>
  <si>
    <t>213110400'= CONTAS A PAGAR CREDORES NACIONAIS100000000092690700000254</t>
  </si>
  <si>
    <t>213110400'= CONTAS A PAGAR CREDORES NACIONAIS100000000093969707000191</t>
  </si>
  <si>
    <t>213110400'= CONTAS A PAGAR CREDORES NACIONAIS100000000096411301000187</t>
  </si>
  <si>
    <t>213110400'= CONTAS A PAGAR CREDORES NACIONAIS100000000096576301000137</t>
  </si>
  <si>
    <t>213110400'= CONTAS A PAGAR CREDORES NACIONAIS100000000097494843000123</t>
  </si>
  <si>
    <t>213110400'= CONTAS A PAGAR CREDORES NACIONAIS1000000000PF9999901</t>
  </si>
  <si>
    <t>213110400'= CONTAS A PAGAR CREDORES NACIONAIS1000000000PF9999902</t>
  </si>
  <si>
    <t>213110400'= CONTAS A PAGAR CREDORES NACIONAIS1000000000PF9999922</t>
  </si>
  <si>
    <t>213110400'= CONTAS A PAGAR CREDORES NACIONAIS1000000000PF9999930</t>
  </si>
  <si>
    <t>213110400'= CONTAS A PAGAR CREDORES NACIONAIS105000026600000000000191</t>
  </si>
  <si>
    <t>213110400'= CONTAS A PAGAR CREDORES NACIONAIS105000026600138806000140</t>
  </si>
  <si>
    <t>213110400'= CONTAS A PAGAR CREDORES NACIONAIS105000026600185997000100</t>
  </si>
  <si>
    <t>213110400'= CONTAS A PAGAR CREDORES NACIONAIS105000026600205354000504</t>
  </si>
  <si>
    <t>213110400'= CONTAS A PAGAR CREDORES NACIONAIS105000026600331788000623</t>
  </si>
  <si>
    <t>213110400'= CONTAS A PAGAR CREDORES NACIONAIS105000026600565813000129</t>
  </si>
  <si>
    <t>213110400'= CONTAS A PAGAR CREDORES NACIONAIS105000026600604122000197</t>
  </si>
  <si>
    <t>213110400'= CONTAS A PAGAR CREDORES NACIONAIS105000026600710985000149</t>
  </si>
  <si>
    <t>213110400'= CONTAS A PAGAR CREDORES NACIONAIS105000026601082331000180</t>
  </si>
  <si>
    <t>213110400'= CONTAS A PAGAR CREDORES NACIONAIS105000026601117975000167</t>
  </si>
  <si>
    <t>213110400'= CONTAS A PAGAR CREDORES NACIONAIS105000026602016558000190</t>
  </si>
  <si>
    <t>213110400'= CONTAS A PAGAR CREDORES NACIONAIS105000026602182621000169</t>
  </si>
  <si>
    <t>213110400'= CONTAS A PAGAR CREDORES NACIONAIS105000026602287193000210</t>
  </si>
  <si>
    <t>213110400'= CONTAS A PAGAR CREDORES NACIONAIS105000026602288055000174</t>
  </si>
  <si>
    <t>213110400'= CONTAS A PAGAR CREDORES NACIONAIS105000026602613088000142</t>
  </si>
  <si>
    <t>213110400'= CONTAS A PAGAR CREDORES NACIONAIS105000026602768278000139</t>
  </si>
  <si>
    <t>213110400'= CONTAS A PAGAR CREDORES NACIONAIS105000026603279285000130</t>
  </si>
  <si>
    <t>213110400'= CONTAS A PAGAR CREDORES NACIONAIS105000026603493782000136</t>
  </si>
  <si>
    <t>213110400'= CONTAS A PAGAR CREDORES NACIONAIS105000026603532163000294</t>
  </si>
  <si>
    <t>213110400'= CONTAS A PAGAR CREDORES NACIONAIS105000026603621389000180</t>
  </si>
  <si>
    <t>213110400'= CONTAS A PAGAR CREDORES NACIONAIS105000026603750757000190</t>
  </si>
  <si>
    <t>213110400'= CONTAS A PAGAR CREDORES NACIONAIS105000026603773700008353</t>
  </si>
  <si>
    <t>213110400'= CONTAS A PAGAR CREDORES NACIONAIS105000026603848688001639</t>
  </si>
  <si>
    <t>213110400'= CONTAS A PAGAR CREDORES NACIONAIS105000026604079384000130</t>
  </si>
  <si>
    <t>213110400'= CONTAS A PAGAR CREDORES NACIONAIS105000026604196935000812</t>
  </si>
  <si>
    <t>213110400'= CONTAS A PAGAR CREDORES NACIONAIS105000026604298309000756</t>
  </si>
  <si>
    <t>213110400'= CONTAS A PAGAR CREDORES NACIONAIS105000026604323643000127</t>
  </si>
  <si>
    <t>213110400'= CONTAS A PAGAR CREDORES NACIONAIS105000026604602789000101</t>
  </si>
  <si>
    <t>213110400'= CONTAS A PAGAR CREDORES NACIONAIS105000026604639119000160</t>
  </si>
  <si>
    <t>213110400'= CONTAS A PAGAR CREDORES NACIONAIS105000026604872241000181</t>
  </si>
  <si>
    <t>213110400'= CONTAS A PAGAR CREDORES NACIONAIS105000026604889792000158</t>
  </si>
  <si>
    <t>213110400'= CONTAS A PAGAR CREDORES NACIONAIS105000026604931019000293</t>
  </si>
  <si>
    <t>213110400'= CONTAS A PAGAR CREDORES NACIONAIS105000026605151518000140</t>
  </si>
  <si>
    <t>213110400'= CONTAS A PAGAR CREDORES NACIONAIS105000026605152318000101</t>
  </si>
  <si>
    <t>213110400'= CONTAS A PAGAR CREDORES NACIONAIS105000026605234289000127</t>
  </si>
  <si>
    <t>213110400'= CONTAS A PAGAR CREDORES NACIONAIS105000026605340639000130</t>
  </si>
  <si>
    <t>213110400'= CONTAS A PAGAR CREDORES NACIONAIS105000026605644040000190</t>
  </si>
  <si>
    <t>213110400'= CONTAS A PAGAR CREDORES NACIONAIS105000026605700417000180</t>
  </si>
  <si>
    <t>213110400'= CONTAS A PAGAR CREDORES NACIONAIS105000026605820555000101</t>
  </si>
  <si>
    <t>213110400'= CONTAS A PAGAR CREDORES NACIONAIS105000026605922013000131</t>
  </si>
  <si>
    <t>213110400'= CONTAS A PAGAR CREDORES NACIONAIS105000026605925426000170</t>
  </si>
  <si>
    <t>213110400'= CONTAS A PAGAR CREDORES NACIONAIS105000026606034506000106</t>
  </si>
  <si>
    <t>213110400'= CONTAS A PAGAR CREDORES NACIONAIS105000026606072154000175</t>
  </si>
  <si>
    <t>213110400'= CONTAS A PAGAR CREDORES NACIONAIS105000026606306060000113</t>
  </si>
  <si>
    <t>213110400'= CONTAS A PAGAR CREDORES NACIONAIS105000026606350648000174</t>
  </si>
  <si>
    <t>213110400'= CONTAS A PAGAR CREDORES NACIONAIS105000026606913480000320</t>
  </si>
  <si>
    <t>213110400'= CONTAS A PAGAR CREDORES NACIONAIS105000026606913480002616</t>
  </si>
  <si>
    <t>213110400'= CONTAS A PAGAR CREDORES NACIONAIS105000026607128158000190</t>
  </si>
  <si>
    <t>213110400'= CONTAS A PAGAR CREDORES NACIONAIS105000026607209817000113</t>
  </si>
  <si>
    <t>213110400'= CONTAS A PAGAR CREDORES NACIONAIS105000026607354313000197</t>
  </si>
  <si>
    <t>213110400'= CONTAS A PAGAR CREDORES NACIONAIS105000026607358761000169</t>
  </si>
  <si>
    <t>213110400'= CONTAS A PAGAR CREDORES NACIONAIS105000026607465373000187</t>
  </si>
  <si>
    <t>213110400'= CONTAS A PAGAR CREDORES NACIONAIS105000026607536703000188</t>
  </si>
  <si>
    <t>213110400'= CONTAS A PAGAR CREDORES NACIONAIS105000026607625852000113</t>
  </si>
  <si>
    <t>213110400'= CONTAS A PAGAR CREDORES NACIONAIS105000026607710046000143</t>
  </si>
  <si>
    <t>213110400'= CONTAS A PAGAR CREDORES NACIONAIS105000026607731801000176</t>
  </si>
  <si>
    <t>213110400'= CONTAS A PAGAR CREDORES NACIONAIS105000026607799454000113</t>
  </si>
  <si>
    <t>213110400'= CONTAS A PAGAR CREDORES NACIONAIS105000026608101451000127</t>
  </si>
  <si>
    <t>213110400'= CONTAS A PAGAR CREDORES NACIONAIS105000026608172784000309</t>
  </si>
  <si>
    <t>213110400'= CONTAS A PAGAR CREDORES NACIONAIS105000026608194579000182</t>
  </si>
  <si>
    <t>213110400'= CONTAS A PAGAR CREDORES NACIONAIS105000026608259544000184</t>
  </si>
  <si>
    <t>213110400'= CONTAS A PAGAR CREDORES NACIONAIS105000026608371108000100</t>
  </si>
  <si>
    <t>213110400'= CONTAS A PAGAR CREDORES NACIONAIS105000026608689801000118</t>
  </si>
  <si>
    <t>213110400'= CONTAS A PAGAR CREDORES NACIONAIS105000026608783191000117</t>
  </si>
  <si>
    <t>213110400'= CONTAS A PAGAR CREDORES NACIONAIS105000026608839819000159</t>
  </si>
  <si>
    <t>213110400'= CONTAS A PAGAR CREDORES NACIONAIS105000026609066134000180</t>
  </si>
  <si>
    <t>213110400'= CONTAS A PAGAR CREDORES NACIONAIS105000026609240519000111</t>
  </si>
  <si>
    <t>213110400'= CONTAS A PAGAR CREDORES NACIONAIS105000026609544885000164</t>
  </si>
  <si>
    <t>213110400'= CONTAS A PAGAR CREDORES NACIONAIS105000026610493362000115</t>
  </si>
  <si>
    <t>213110400'= CONTAS A PAGAR CREDORES NACIONAIS105000026610498974000109</t>
  </si>
  <si>
    <t>213110400'= CONTAS A PAGAR CREDORES NACIONAIS105000026610498974000281</t>
  </si>
  <si>
    <t>213110400'= CONTAS A PAGAR CREDORES NACIONAIS105000026610618016000116</t>
  </si>
  <si>
    <t>213110400'= CONTAS A PAGAR CREDORES NACIONAIS105000026610656610000100</t>
  </si>
  <si>
    <t>213110400'= CONTAS A PAGAR CREDORES NACIONAIS105000026610772725000151</t>
  </si>
  <si>
    <t>213110400'= CONTAS A PAGAR CREDORES NACIONAIS105000026610987661000106</t>
  </si>
  <si>
    <t>213110400'= CONTAS A PAGAR CREDORES NACIONAIS105000026611114572000118</t>
  </si>
  <si>
    <t>213110400'= CONTAS A PAGAR CREDORES NACIONAIS105000026611117193000181</t>
  </si>
  <si>
    <t>213110400'= CONTAS A PAGAR CREDORES NACIONAIS105000026611488758000137</t>
  </si>
  <si>
    <t>213110400'= CONTAS A PAGAR CREDORES NACIONAIS105000026611699534000174</t>
  </si>
  <si>
    <t>213110400'= CONTAS A PAGAR CREDORES NACIONAIS105000026611880336000102</t>
  </si>
  <si>
    <t>213110400'= CONTAS A PAGAR CREDORES NACIONAIS105000026611903685000100</t>
  </si>
  <si>
    <t>213110400'= CONTAS A PAGAR CREDORES NACIONAIS105000026612538156000703</t>
  </si>
  <si>
    <t>213110400'= CONTAS A PAGAR CREDORES NACIONAIS105000026612854640000148</t>
  </si>
  <si>
    <t>213110400'= CONTAS A PAGAR CREDORES NACIONAIS105000026613743336000196</t>
  </si>
  <si>
    <t>213110400'= CONTAS A PAGAR CREDORES NACIONAIS105000026613977867000143</t>
  </si>
  <si>
    <t>213110400'= CONTAS A PAGAR CREDORES NACIONAIS105000026614032574000156</t>
  </si>
  <si>
    <t>213110400'= CONTAS A PAGAR CREDORES NACIONAIS105000026614108596000152</t>
  </si>
  <si>
    <t>213110400'= CONTAS A PAGAR CREDORES NACIONAIS105000026614256315000109</t>
  </si>
  <si>
    <t>213110400'= CONTAS A PAGAR CREDORES NACIONAIS105000026615669471000164</t>
  </si>
  <si>
    <t>213110400'= CONTAS A PAGAR CREDORES NACIONAIS105000026617227422000105</t>
  </si>
  <si>
    <t>213110400'= CONTAS A PAGAR CREDORES NACIONAIS105000026617354911000110</t>
  </si>
  <si>
    <t>213110400'= CONTAS A PAGAR CREDORES NACIONAIS105000026617474484000103</t>
  </si>
  <si>
    <t>213110400'= CONTAS A PAGAR CREDORES NACIONAIS105000026617643102000128</t>
  </si>
  <si>
    <t>213110400'= CONTAS A PAGAR CREDORES NACIONAIS105000026618182845000100</t>
  </si>
  <si>
    <t>213110400'= CONTAS A PAGAR CREDORES NACIONAIS105000026618300438000150</t>
  </si>
  <si>
    <t>213110400'= CONTAS A PAGAR CREDORES NACIONAIS105000026618631695000175</t>
  </si>
  <si>
    <t>213110400'= CONTAS A PAGAR CREDORES NACIONAIS105000026618727053000174</t>
  </si>
  <si>
    <t>213110400'= CONTAS A PAGAR CREDORES NACIONAIS105000026619069562000110</t>
  </si>
  <si>
    <t>213110400'= CONTAS A PAGAR CREDORES NACIONAIS105000026619469500000103</t>
  </si>
  <si>
    <t>213110400'= CONTAS A PAGAR CREDORES NACIONAIS105000026620873290000195</t>
  </si>
  <si>
    <t>213110400'= CONTAS A PAGAR CREDORES NACIONAIS105000026621000322000100</t>
  </si>
  <si>
    <t>213110400'= CONTAS A PAGAR CREDORES NACIONAIS105000026621045717000120</t>
  </si>
  <si>
    <t>213110400'= CONTAS A PAGAR CREDORES NACIONAIS105000026621057661000123</t>
  </si>
  <si>
    <t>213110400'= CONTAS A PAGAR CREDORES NACIONAIS105000026621577007000140</t>
  </si>
  <si>
    <t>213110400'= CONTAS A PAGAR CREDORES NACIONAIS105000026621592185000140</t>
  </si>
  <si>
    <t>213110400'= CONTAS A PAGAR CREDORES NACIONAIS105000026621948551000151</t>
  </si>
  <si>
    <t>213110400'= CONTAS A PAGAR CREDORES NACIONAIS105000026621993683000103</t>
  </si>
  <si>
    <t>213110400'= CONTAS A PAGAR CREDORES NACIONAIS105000026622085520000268</t>
  </si>
  <si>
    <t>213110400'= CONTAS A PAGAR CREDORES NACIONAIS105000026622683508000174</t>
  </si>
  <si>
    <t>213110400'= CONTAS A PAGAR CREDORES NACIONAIS105000026623886982000166</t>
  </si>
  <si>
    <t>213110400'= CONTAS A PAGAR CREDORES NACIONAIS105000026623908807000122</t>
  </si>
  <si>
    <t>213110400'= CONTAS A PAGAR CREDORES NACIONAIS105000026624812665000168</t>
  </si>
  <si>
    <t>213110400'= CONTAS A PAGAR CREDORES NACIONAIS105000026626334347000164</t>
  </si>
  <si>
    <t>213110400'= CONTAS A PAGAR CREDORES NACIONAIS105000026626337230000134</t>
  </si>
  <si>
    <t>213110400'= CONTAS A PAGAR CREDORES NACIONAIS105000026626824426000153</t>
  </si>
  <si>
    <t>213110400'= CONTAS A PAGAR CREDORES NACIONAIS105000026628383198000159</t>
  </si>
  <si>
    <t>213110400'= CONTAS A PAGAR CREDORES NACIONAIS105000026629067296000140</t>
  </si>
  <si>
    <t>213110400'= CONTAS A PAGAR CREDORES NACIONAIS105000026629080486000105</t>
  </si>
  <si>
    <t>213110400'= CONTAS A PAGAR CREDORES NACIONAIS105000026629782634000125</t>
  </si>
  <si>
    <t>213110400'= CONTAS A PAGAR CREDORES NACIONAIS105000026629799921000148</t>
  </si>
  <si>
    <t>213110400'= CONTAS A PAGAR CREDORES NACIONAIS105000026629912565000127</t>
  </si>
  <si>
    <t>213110400'= CONTAS A PAGAR CREDORES NACIONAIS105000026629999597000101</t>
  </si>
  <si>
    <t>213110400'= CONTAS A PAGAR CREDORES NACIONAIS105000026630022727000130</t>
  </si>
  <si>
    <t>213110400'= CONTAS A PAGAR CREDORES NACIONAIS105000026630026710000151</t>
  </si>
  <si>
    <t>213110400'= CONTAS A PAGAR CREDORES NACIONAIS105000026630132722000160</t>
  </si>
  <si>
    <t>213110400'= CONTAS A PAGAR CREDORES NACIONAIS105000026630194450000123</t>
  </si>
  <si>
    <t>213110400'= CONTAS A PAGAR CREDORES NACIONAIS105000026631027527000133</t>
  </si>
  <si>
    <t>213110400'= CONTAS A PAGAR CREDORES NACIONAIS105000026631563034000118</t>
  </si>
  <si>
    <t>213110400'= CONTAS A PAGAR CREDORES NACIONAIS105000026631888692000180</t>
  </si>
  <si>
    <t>213110400'= CONTAS A PAGAR CREDORES NACIONAIS105000026631978612000187</t>
  </si>
  <si>
    <t>213110400'= CONTAS A PAGAR CREDORES NACIONAIS105000026632185480000875</t>
  </si>
  <si>
    <t>213110400'= CONTAS A PAGAR CREDORES NACIONAIS105000026632602639000133</t>
  </si>
  <si>
    <t>213110400'= CONTAS A PAGAR CREDORES NACIONAIS105000026632683520000132</t>
  </si>
  <si>
    <t>213110400'= CONTAS A PAGAR CREDORES NACIONAIS105000026633054412000597</t>
  </si>
  <si>
    <t>213110400'= CONTAS A PAGAR CREDORES NACIONAIS105000026633149502000138</t>
  </si>
  <si>
    <t>213110400'= CONTAS A PAGAR CREDORES NACIONAIS105000026633182809007143</t>
  </si>
  <si>
    <t>213110400'= CONTAS A PAGAR CREDORES NACIONAIS105000026633220880000160</t>
  </si>
  <si>
    <t>213110400'= CONTAS A PAGAR CREDORES NACIONAIS105000026633575585000127</t>
  </si>
  <si>
    <t>213110400'= CONTAS A PAGAR CREDORES NACIONAIS105000026633641663000144</t>
  </si>
  <si>
    <t>213110400'= CONTAS A PAGAR CREDORES NACIONAIS105000026633762477000163</t>
  </si>
  <si>
    <t>213110400'= CONTAS A PAGAR CREDORES NACIONAIS105000026633988536000116</t>
  </si>
  <si>
    <t>213110400'= CONTAS A PAGAR CREDORES NACIONAIS105000026634028316000294</t>
  </si>
  <si>
    <t>213110400'= CONTAS A PAGAR CREDORES NACIONAIS105000026634118198000124</t>
  </si>
  <si>
    <t>213110400'= CONTAS A PAGAR CREDORES NACIONAIS105000026634370234000142</t>
  </si>
  <si>
    <t>213110400'= CONTAS A PAGAR CREDORES NACIONAIS105000026634776007000111</t>
  </si>
  <si>
    <t>213110400'= CONTAS A PAGAR CREDORES NACIONAIS105000026634840591000127</t>
  </si>
  <si>
    <t>213110400'= CONTAS A PAGAR CREDORES NACIONAIS105000026635820448000721</t>
  </si>
  <si>
    <t>213110400'= CONTAS A PAGAR CREDORES NACIONAIS105000026636521392000181</t>
  </si>
  <si>
    <t>213110400'= CONTAS A PAGAR CREDORES NACIONAIS105000026636924105000184</t>
  </si>
  <si>
    <t>213110400'= CONTAS A PAGAR CREDORES NACIONAIS105000026637154308000100</t>
  </si>
  <si>
    <t>213110400'= CONTAS A PAGAR CREDORES NACIONAIS105000026637180381000148</t>
  </si>
  <si>
    <t>213110400'= CONTAS A PAGAR CREDORES NACIONAIS105000026637760066000190</t>
  </si>
  <si>
    <t>213110400'= CONTAS A PAGAR CREDORES NACIONAIS105000026638503861000165</t>
  </si>
  <si>
    <t>213110400'= CONTAS A PAGAR CREDORES NACIONAIS105000026639162235000115</t>
  </si>
  <si>
    <t>213110400'= CONTAS A PAGAR CREDORES NACIONAIS105000026640220678000102</t>
  </si>
  <si>
    <t>213110400'= CONTAS A PAGAR CREDORES NACIONAIS105000026640282584000150</t>
  </si>
  <si>
    <t>213110400'= CONTAS A PAGAR CREDORES NACIONAIS105000026641598693000143</t>
  </si>
  <si>
    <t>213110400'= CONTAS A PAGAR CREDORES NACIONAIS105000026642114972000157</t>
  </si>
  <si>
    <t>213110400'= CONTAS A PAGAR CREDORES NACIONAIS105000026642283770000139</t>
  </si>
  <si>
    <t>213110400'= CONTAS A PAGAR CREDORES NACIONAIS105000026642292007000174</t>
  </si>
  <si>
    <t>213110400'= CONTAS A PAGAR CREDORES NACIONAIS105000026642929850000119</t>
  </si>
  <si>
    <t>213110400'= CONTAS A PAGAR CREDORES NACIONAIS105000026643039059000104</t>
  </si>
  <si>
    <t>213110400'= CONTAS A PAGAR CREDORES NACIONAIS105000026643111677000100</t>
  </si>
  <si>
    <t>213110400'= CONTAS A PAGAR CREDORES NACIONAIS105000026643175722000190</t>
  </si>
  <si>
    <t>213110400'= CONTAS A PAGAR CREDORES NACIONAIS105000026643283811001202</t>
  </si>
  <si>
    <t>213110400'= CONTAS A PAGAR CREDORES NACIONAIS105000026644060520000165</t>
  </si>
  <si>
    <t>213110400'= CONTAS A PAGAR CREDORES NACIONAIS105000026644073971000137</t>
  </si>
  <si>
    <t>213110400'= CONTAS A PAGAR CREDORES NACIONAIS105000026644386134000168</t>
  </si>
  <si>
    <t>213110400'= CONTAS A PAGAR CREDORES NACIONAIS105000026645915893000133</t>
  </si>
  <si>
    <t>213110400'= CONTAS A PAGAR CREDORES NACIONAIS105000026646390209000100</t>
  </si>
  <si>
    <t>213110400'= CONTAS A PAGAR CREDORES NACIONAIS105000026647657354000177</t>
  </si>
  <si>
    <t>213110400'= CONTAS A PAGAR CREDORES NACIONAIS105000026648165518000101</t>
  </si>
  <si>
    <t>213110400'= CONTAS A PAGAR CREDORES NACIONAIS105000026648300513000144</t>
  </si>
  <si>
    <t>213110400'= CONTAS A PAGAR CREDORES NACIONAIS105000026650162682000107</t>
  </si>
  <si>
    <t>213110400'= CONTAS A PAGAR CREDORES NACIONAIS105000026650258623000137</t>
  </si>
  <si>
    <t>213110400'= CONTAS A PAGAR CREDORES NACIONAIS105000026650400407000184</t>
  </si>
  <si>
    <t>213110400'= CONTAS A PAGAR CREDORES NACIONAIS105000026651371877000120</t>
  </si>
  <si>
    <t>213110400'= CONTAS A PAGAR CREDORES NACIONAIS105000026651733129000140</t>
  </si>
  <si>
    <t>213110400'= CONTAS A PAGAR CREDORES NACIONAIS105000026652640646000137</t>
  </si>
  <si>
    <t>213110400'= CONTAS A PAGAR CREDORES NACIONAIS105000026654599501000165</t>
  </si>
  <si>
    <t>213110400'= CONTAS A PAGAR CREDORES NACIONAIS105000026654999438000154</t>
  </si>
  <si>
    <t>213110400'= CONTAS A PAGAR CREDORES NACIONAIS105000026655616429000108</t>
  </si>
  <si>
    <t>213110400'= CONTAS A PAGAR CREDORES NACIONAIS105000026657910325000129</t>
  </si>
  <si>
    <t>213110400'= CONTAS A PAGAR CREDORES NACIONAIS105000026659618207000177</t>
  </si>
  <si>
    <t>213110400'= CONTAS A PAGAR CREDORES NACIONAIS105000026660444437000146</t>
  </si>
  <si>
    <t>213110400'= CONTAS A PAGAR CREDORES NACIONAIS105000026660452752000115</t>
  </si>
  <si>
    <t>213110400'= CONTAS A PAGAR CREDORES NACIONAIS105000026660954161000146</t>
  </si>
  <si>
    <t>213110400'= CONTAS A PAGAR CREDORES NACIONAIS105000026661067906000118</t>
  </si>
  <si>
    <t>213110400'= CONTAS A PAGAR CREDORES NACIONAIS105000026661074175000138</t>
  </si>
  <si>
    <t>213110400'= CONTAS A PAGAR CREDORES NACIONAIS105000026661198164000160</t>
  </si>
  <si>
    <t>213110400'= CONTAS A PAGAR CREDORES NACIONAIS105000026661479002000108</t>
  </si>
  <si>
    <t>213110400'= CONTAS A PAGAR CREDORES NACIONAIS105000026661793691000112</t>
  </si>
  <si>
    <t>213110400'= CONTAS A PAGAR CREDORES NACIONAIS105000026662312426000138</t>
  </si>
  <si>
    <t>213110400'= CONTAS A PAGAR CREDORES NACIONAIS105000026662458088002867</t>
  </si>
  <si>
    <t>213110400'= CONTAS A PAGAR CREDORES NACIONAIS105000026662576749000139</t>
  </si>
  <si>
    <t>213110400'= CONTAS A PAGAR CREDORES NACIONAIS105000026662877808000109</t>
  </si>
  <si>
    <t>213110400'= CONTAS A PAGAR CREDORES NACIONAIS105000026665494742000166</t>
  </si>
  <si>
    <t>213110400'= CONTAS A PAGAR CREDORES NACIONAIS105000026666018441000129</t>
  </si>
  <si>
    <t>213110400'= CONTAS A PAGAR CREDORES NACIONAIS105000026668154244000162</t>
  </si>
  <si>
    <t>213110400'= CONTAS A PAGAR CREDORES NACIONAIS105000026668993641000802</t>
  </si>
  <si>
    <t>213110400'= CONTAS A PAGAR CREDORES NACIONAIS105000026669113322000143</t>
  </si>
  <si>
    <t>213110400'= CONTAS A PAGAR CREDORES NACIONAIS105000026669275337000108</t>
  </si>
  <si>
    <t>213110400'= CONTAS A PAGAR CREDORES NACIONAIS105000026672734791000194</t>
  </si>
  <si>
    <t>213110400'= CONTAS A PAGAR CREDORES NACIONAIS105000026676617927000137</t>
  </si>
  <si>
    <t>213110400'= CONTAS A PAGAR CREDORES NACIONAIS105000026681616765000233</t>
  </si>
  <si>
    <t>213110400'= CONTAS A PAGAR CREDORES NACIONAIS105000026686781069000115</t>
  </si>
  <si>
    <t>213110400'= CONTAS A PAGAR CREDORES NACIONAIS105000026688020102000110</t>
  </si>
  <si>
    <t>213110400'= CONTAS A PAGAR CREDORES NACIONAIS105000026688630413000281</t>
  </si>
  <si>
    <t>213110400'= CONTAS A PAGAR CREDORES NACIONAIS1050000266PF9999902</t>
  </si>
  <si>
    <t>213110400'= CONTAS A PAGAR CREDORES NACIONAIS13830495000128</t>
  </si>
  <si>
    <t>213110400'= CONTAS A PAGAR CREDORES NACIONAIS300000000001597589000977</t>
  </si>
  <si>
    <t>213110400'= CONTAS A PAGAR CREDORES NACIONAIS300000000002016558000190</t>
  </si>
  <si>
    <t>213110400'= CONTAS A PAGAR CREDORES NACIONAIS300000000007358761001645</t>
  </si>
  <si>
    <t>213110400'= CONTAS A PAGAR CREDORES NACIONAIS300000000033220880000160</t>
  </si>
  <si>
    <t>213110400'= CONTAS A PAGAR CREDORES NACIONAIS300000000033345683000178</t>
  </si>
  <si>
    <t>213110400'= CONTAS A PAGAR CREDORES NACIONAIS300000000044140855000193</t>
  </si>
  <si>
    <t>213110400'= CONTAS A PAGAR CREDORES NACIONAIS305000026600000000000191</t>
  </si>
  <si>
    <t>213110400'= CONTAS A PAGAR CREDORES NACIONAIS305000026600277106000137</t>
  </si>
  <si>
    <t>213110400'= CONTAS A PAGAR CREDORES NACIONAIS305000026600957796000175</t>
  </si>
  <si>
    <t>213110400'= CONTAS A PAGAR CREDORES NACIONAIS305000026602445332000105</t>
  </si>
  <si>
    <t>213110400'= CONTAS A PAGAR CREDORES NACIONAIS305000026603099750000150</t>
  </si>
  <si>
    <t>213110400'= CONTAS A PAGAR CREDORES NACIONAIS305000026603950991000161</t>
  </si>
  <si>
    <t>213110400'= CONTAS A PAGAR CREDORES NACIONAIS305000026604676236000101</t>
  </si>
  <si>
    <t>213110400'= CONTAS A PAGAR CREDORES NACIONAIS305000026605151518000140</t>
  </si>
  <si>
    <t>213110400'= CONTAS A PAGAR CREDORES NACIONAIS305000026605234289000127</t>
  </si>
  <si>
    <t>213110400'= CONTAS A PAGAR CREDORES NACIONAIS305000026610721880000149</t>
  </si>
  <si>
    <t>213110400'= CONTAS A PAGAR CREDORES NACIONAIS305000026611699534000174</t>
  </si>
  <si>
    <t>213110400'= CONTAS A PAGAR CREDORES NACIONAIS305000026612094632000140</t>
  </si>
  <si>
    <t>213110400'= CONTAS A PAGAR CREDORES NACIONAIS305000026613149502000120</t>
  </si>
  <si>
    <t>213110400'= CONTAS A PAGAR CREDORES NACIONAIS305000026617227422000105</t>
  </si>
  <si>
    <t>213110400'= CONTAS A PAGAR CREDORES NACIONAIS305000026627830827000189</t>
  </si>
  <si>
    <t>213110400'= CONTAS A PAGAR CREDORES NACIONAIS305000026629912565000127</t>
  </si>
  <si>
    <t>213110400'= CONTAS A PAGAR CREDORES NACIONAIS305000026632185480000875</t>
  </si>
  <si>
    <t>213110400'= CONTAS A PAGAR CREDORES NACIONAIS305000026639907793000162</t>
  </si>
  <si>
    <t>213110400'= CONTAS A PAGAR CREDORES NACIONAIS305000026642292007000174</t>
  </si>
  <si>
    <t>213110400'= CONTAS A PAGAR CREDORES NACIONAIS305000026652796129000151</t>
  </si>
  <si>
    <t>213110400'= CONTAS A PAGAR CREDORES NACIONAIS305000026660444437000146</t>
  </si>
  <si>
    <t>213110400'= CONTAS A PAGAR CREDORES NACIONAIS305000026662444153000185</t>
  </si>
  <si>
    <t>213110400'= CONTAS A PAGAR CREDORES NACIONAIS305000026665494742000166</t>
  </si>
  <si>
    <t>213110400'= CONTAS A PAGAR CREDORES NACIONAIS32125858000179</t>
  </si>
  <si>
    <t>213110400'= CONTAS A PAGAR CREDORES NACIONAIS33182809007143</t>
  </si>
  <si>
    <t>213110400'= CONTAS A PAGAR CREDORES NACIONAIS40282584000150</t>
  </si>
  <si>
    <t>213110400'= CONTAS A PAGAR CREDORES NACIONAIS62458088002867</t>
  </si>
  <si>
    <t>213110400'= CONTAS A PAGAR CREDORES NACIONAIS69275337000108</t>
  </si>
  <si>
    <t>213120400'= CONTAS A PAGAR CREDORES NACIONAIS -INTRA OFSS1000000000113202</t>
  </si>
  <si>
    <t>213120400'= CONTAS A PAGAR CREDORES NACIONAIS -INTRA OFSS1000000000115406</t>
  </si>
  <si>
    <t>215210000'= TRANSF LEGAIS A PAGAR - CONSOLIDACAO100000000028015170000169</t>
  </si>
  <si>
    <t>215210000'= TRANSF LEGAIS A PAGAR - CONSOLIDACAO105000026628015170000169</t>
  </si>
  <si>
    <t>213210100'= FORNECEDORES ESTRANGEIROS100000000000000000000191</t>
  </si>
  <si>
    <t>2.1.3.3 Fornecedores - Fornecedores Internacionais</t>
  </si>
  <si>
    <t>214110200'= IRPJ A RECOLHER1000000000</t>
  </si>
  <si>
    <t>Obrigações tributárias</t>
  </si>
  <si>
    <t>2.1.4.1 Obrigações Tributárias - Federais</t>
  </si>
  <si>
    <t>214110200'= IRPJ A RECOLHERSEM INFORMACAO</t>
  </si>
  <si>
    <t>214110500'= IOF A RECOLHER1000000000</t>
  </si>
  <si>
    <t>214110500'= IOF A RECOLHER1050000266</t>
  </si>
  <si>
    <t>214110500'= IOF A RECOLHER3050000266</t>
  </si>
  <si>
    <t>214110900'= CSSL A RECOLHER1000000000</t>
  </si>
  <si>
    <t>214110900'= CSSL A RECOLHERSEM INFORMACAO</t>
  </si>
  <si>
    <t>214120200'= IRPJ A RECOLHER - INTRA OFSS1000000000</t>
  </si>
  <si>
    <t>214120900'= CSSL A RECOLHER - INTRA OFSS1000000000</t>
  </si>
  <si>
    <t>214120900'= CSSL A RECOLHER - INTRA OFSS1050000266</t>
  </si>
  <si>
    <t>218810104'= IRRF DEVIDO AO TESOURO NACIONAL100000000000000000000191</t>
  </si>
  <si>
    <t>2.1.4.1 Obrigações Tributárias - Federais - Retenções Impostos e Contribuições</t>
  </si>
  <si>
    <t>218810104'= IRRF DEVIDO AO TESOURO NACIONAL1000000000PF9999901</t>
  </si>
  <si>
    <t>218810104'= IRRF DEVIDO AO TESOURO NACIONAL1000000000PF9999905</t>
  </si>
  <si>
    <t>218810106'= IMPOSTOS E CONTRIB DIVERSOS DEVIDOS AO TESOUR1000000000</t>
  </si>
  <si>
    <t>218810106'= IMPOSTOS E CONTRIB DIVERSOS DEVIDOS AO TESOUR1050000266</t>
  </si>
  <si>
    <t>218810106'= IMPOSTOS E CONTRIB DIVERSOS DEVIDOS AO TESOUR3000000000</t>
  </si>
  <si>
    <t>218810106'= IMPOSTOS E CONTRIB DIVERSOS DEVIDOS AO TESOUR3050000266</t>
  </si>
  <si>
    <t>218810102'= RETENCAO PREVIDENCIARIA - FRGPS1000000000</t>
  </si>
  <si>
    <t>2.1.4.1 Obrigações Tributárias - Federais - Retenções Previdenciárias</t>
  </si>
  <si>
    <t>218810102'= RETENCAO PREVIDENCIARIA - FRGPS1050000266</t>
  </si>
  <si>
    <t>218810102'= RETENCAO PREVIDENCIARIA - FRGPS3000000000</t>
  </si>
  <si>
    <t>218810102'= RETENCAO PREVIDENCIARIA - FRGPS3050000266</t>
  </si>
  <si>
    <t>214210200'= IPVA A RECOLHER1000000000</t>
  </si>
  <si>
    <t>2.1.4.2 Obrigações Tributárias - Estaduais</t>
  </si>
  <si>
    <t>218810108'= ICMS1000000000</t>
  </si>
  <si>
    <t>218810108'= ICMS1050000266</t>
  </si>
  <si>
    <t>218810108'= ICMS3050000266</t>
  </si>
  <si>
    <t>214310200'= IPTU/TLP A RECOLHER1000000000</t>
  </si>
  <si>
    <t>2.1.4.3 Obrigações Tributárias - Municipais</t>
  </si>
  <si>
    <t>218810109'= ISS1000000000</t>
  </si>
  <si>
    <t>218810109'= ISS1050000266</t>
  </si>
  <si>
    <t>214111401'= TAXA DE FISCALIZACAO OU DE PODER DE POLICIA1000000000</t>
  </si>
  <si>
    <t>2.1.4.4 Obrigações Tributárias - Taxas</t>
  </si>
  <si>
    <t>214121401'= TAXA DE FISCALIZACAO OU DE PODER DE POLICIA1000000000</t>
  </si>
  <si>
    <t>214121402'= TAXA PELA PRESTACAO DE SERVICOS1000000000</t>
  </si>
  <si>
    <t>214210800'= TAXA DE LICENCIAMENTO AMBIENTAL1050000266</t>
  </si>
  <si>
    <t>214211402'= TAXA PELA PRESTACAO DE SERVICOS1000000000</t>
  </si>
  <si>
    <t>218810114'= PENSAO ALIMENTICIA100000000000000000000191</t>
  </si>
  <si>
    <t>2.1.5.1 Outras Obrigações - Pensão Alimentícia</t>
  </si>
  <si>
    <t>218810114'= PENSAO ALIMENTICIA100000000007825531680</t>
  </si>
  <si>
    <t>218810114'= PENSAO ALIMENTICIA100000000008038903706</t>
  </si>
  <si>
    <t>218810114'= PENSAO ALIMENTICIA100000000008258790781</t>
  </si>
  <si>
    <t>218910100'= INDENIZACOES, RESTITUICOES E COMPENSACOES100000000000000000000191</t>
  </si>
  <si>
    <t>2.1.5.10 Outras Obrigações - Indenizações, Restituições e Compensações</t>
  </si>
  <si>
    <t>218910100'= INDENIZACOES, RESTITUICOES E COMPENSACOES100000000000000000191</t>
  </si>
  <si>
    <t>218910100'= INDENIZACOES, RESTITUICOES E COMPENSACOES1000000000PF9999905</t>
  </si>
  <si>
    <t>218910100'= INDENIZACOES, RESTITUICOES E COMPENSACOES1000000000PF9999930</t>
  </si>
  <si>
    <t>218910100'= INDENIZACOES, RESTITUICOES E COMPENSACOES105000026600000000000191</t>
  </si>
  <si>
    <t>218920100'= INDENIZACOES, RESTITUICOES E COMPENSAC -INTRA100000000000000000000191</t>
  </si>
  <si>
    <t>218920100'= INDENIZACOES, RESTITUICOES E COMPENSAC -INTRA100000000000000000191</t>
  </si>
  <si>
    <t>218910200'= DIARIAS A PAGAR100000000000085062723</t>
  </si>
  <si>
    <t>2.1.5.11 Outras Obrigações - Diárias a Pagar</t>
  </si>
  <si>
    <t>218910200'= DIARIAS A PAGAR100000000000345967712</t>
  </si>
  <si>
    <t>218910200'= DIARIAS A PAGAR100000000000479751722</t>
  </si>
  <si>
    <t>218910200'= DIARIAS A PAGAR100000000000950520705</t>
  </si>
  <si>
    <t>218910200'= DIARIAS A PAGAR100000000001406066702</t>
  </si>
  <si>
    <t>218910200'= DIARIAS A PAGAR100000000001414462778</t>
  </si>
  <si>
    <t>218910200'= DIARIAS A PAGAR100000000001455185744</t>
  </si>
  <si>
    <t>218910200'= DIARIAS A PAGAR100000000001652326766</t>
  </si>
  <si>
    <t>218910200'= DIARIAS A PAGAR100000000001851133704</t>
  </si>
  <si>
    <t>218910200'= DIARIAS A PAGAR100000000001947411764</t>
  </si>
  <si>
    <t>218910200'= DIARIAS A PAGAR100000000002051085714</t>
  </si>
  <si>
    <t>218910200'= DIARIAS A PAGAR100000000002065435739</t>
  </si>
  <si>
    <t>218910200'= DIARIAS A PAGAR100000000002132647739</t>
  </si>
  <si>
    <t>218910200'= DIARIAS A PAGAR100000000002155157738</t>
  </si>
  <si>
    <t>218910200'= DIARIAS A PAGAR100000000002170461779</t>
  </si>
  <si>
    <t>218910200'= DIARIAS A PAGAR100000000002505136769</t>
  </si>
  <si>
    <t>218910200'= DIARIAS A PAGAR100000000002529663769</t>
  </si>
  <si>
    <t>218910200'= DIARIAS A PAGAR100000000002585313719</t>
  </si>
  <si>
    <t>218910200'= DIARIAS A PAGAR100000000003248614781</t>
  </si>
  <si>
    <t>218910200'= DIARIAS A PAGAR100000000003318464708</t>
  </si>
  <si>
    <t>218910200'= DIARIAS A PAGAR100000000003408946795</t>
  </si>
  <si>
    <t>218910200'= DIARIAS A PAGAR100000000003434794786</t>
  </si>
  <si>
    <t>218910200'= DIARIAS A PAGAR100000000003470602182</t>
  </si>
  <si>
    <t>218910200'= DIARIAS A PAGAR100000000003595051718</t>
  </si>
  <si>
    <t>218910200'= DIARIAS A PAGAR100000000003870112778</t>
  </si>
  <si>
    <t>218910200'= DIARIAS A PAGAR100000000004150881782</t>
  </si>
  <si>
    <t>218910200'= DIARIAS A PAGAR100000000004243088780</t>
  </si>
  <si>
    <t>218910200'= DIARIAS A PAGAR100000000004253658679</t>
  </si>
  <si>
    <t>218910200'= DIARIAS A PAGAR100000000004264700795</t>
  </si>
  <si>
    <t>218910200'= DIARIAS A PAGAR100000000004411522799</t>
  </si>
  <si>
    <t>218910200'= DIARIAS A PAGAR100000000004412254704</t>
  </si>
  <si>
    <t>218910200'= DIARIAS A PAGAR100000000004416936796</t>
  </si>
  <si>
    <t>218910200'= DIARIAS A PAGAR100000000005151986767</t>
  </si>
  <si>
    <t>218910200'= DIARIAS A PAGAR100000000005182550774</t>
  </si>
  <si>
    <t>218910200'= DIARIAS A PAGAR100000000005282052776</t>
  </si>
  <si>
    <t>218910200'= DIARIAS A PAGAR100000000005314448726</t>
  </si>
  <si>
    <t>218910200'= DIARIAS A PAGAR100000000005320369646</t>
  </si>
  <si>
    <t>218910200'= DIARIAS A PAGAR100000000005361046701</t>
  </si>
  <si>
    <t>218910200'= DIARIAS A PAGAR100000000005492202758</t>
  </si>
  <si>
    <t>218910200'= DIARIAS A PAGAR100000000005519024774</t>
  </si>
  <si>
    <t>218910200'= DIARIAS A PAGAR100000000005532915725</t>
  </si>
  <si>
    <t>218910200'= DIARIAS A PAGAR100000000005541957710</t>
  </si>
  <si>
    <t>218910200'= DIARIAS A PAGAR100000000005604479730</t>
  </si>
  <si>
    <t>218910200'= DIARIAS A PAGAR100000000005618288737</t>
  </si>
  <si>
    <t>218910200'= DIARIAS A PAGAR100000000005645709748</t>
  </si>
  <si>
    <t>218910200'= DIARIAS A PAGAR100000000005677782742</t>
  </si>
  <si>
    <t>218910200'= DIARIAS A PAGAR100000000005678774778</t>
  </si>
  <si>
    <t>218910200'= DIARIAS A PAGAR100000000005791053770</t>
  </si>
  <si>
    <t>218910200'= DIARIAS A PAGAR100000000005863108789</t>
  </si>
  <si>
    <t>218910200'= DIARIAS A PAGAR100000000005977083718</t>
  </si>
  <si>
    <t>218910200'= DIARIAS A PAGAR100000000006036103743</t>
  </si>
  <si>
    <t>218910200'= DIARIAS A PAGAR100000000006070982797</t>
  </si>
  <si>
    <t>218910200'= DIARIAS A PAGAR100000000006964465707</t>
  </si>
  <si>
    <t>218910200'= DIARIAS A PAGAR100000000007011054707</t>
  </si>
  <si>
    <t>218910200'= DIARIAS A PAGAR100000000007034952752</t>
  </si>
  <si>
    <t>218910200'= DIARIAS A PAGAR100000000007332423758</t>
  </si>
  <si>
    <t>218910200'= DIARIAS A PAGAR100000000007349170742</t>
  </si>
  <si>
    <t>218910200'= DIARIAS A PAGAR100000000007358038703</t>
  </si>
  <si>
    <t>218910200'= DIARIAS A PAGAR100000000007375703779</t>
  </si>
  <si>
    <t>218910200'= DIARIAS A PAGAR100000000007450725770</t>
  </si>
  <si>
    <t>218910200'= DIARIAS A PAGAR100000000007454288782</t>
  </si>
  <si>
    <t>218910200'= DIARIAS A PAGAR100000000007552841788</t>
  </si>
  <si>
    <t>218910200'= DIARIAS A PAGAR100000000007568732746</t>
  </si>
  <si>
    <t>218910200'= DIARIAS A PAGAR100000000007650953785</t>
  </si>
  <si>
    <t>218910200'= DIARIAS A PAGAR100000000007708292794</t>
  </si>
  <si>
    <t>218910200'= DIARIAS A PAGAR100000000007712093717</t>
  </si>
  <si>
    <t>218910200'= DIARIAS A PAGAR100000000007716667726</t>
  </si>
  <si>
    <t>218910200'= DIARIAS A PAGAR100000000007788307726</t>
  </si>
  <si>
    <t>218910200'= DIARIAS A PAGAR100000000007808975796</t>
  </si>
  <si>
    <t>218910200'= DIARIAS A PAGAR100000000007809171704</t>
  </si>
  <si>
    <t>218910200'= DIARIAS A PAGAR100000000007844342714</t>
  </si>
  <si>
    <t>218910200'= DIARIAS A PAGAR100000000007845629707</t>
  </si>
  <si>
    <t>218910200'= DIARIAS A PAGAR100000000007876820719</t>
  </si>
  <si>
    <t>218910200'= DIARIAS A PAGAR100000000007887245761</t>
  </si>
  <si>
    <t>218910200'= DIARIAS A PAGAR100000000007912863710</t>
  </si>
  <si>
    <t>218910200'= DIARIAS A PAGAR100000000008034666769</t>
  </si>
  <si>
    <t>218910200'= DIARIAS A PAGAR100000000008117186705</t>
  </si>
  <si>
    <t>218910200'= DIARIAS A PAGAR100000000008252397700</t>
  </si>
  <si>
    <t>218910200'= DIARIAS A PAGAR100000000008253330758</t>
  </si>
  <si>
    <t>218910200'= DIARIAS A PAGAR100000000008352320777</t>
  </si>
  <si>
    <t>218910200'= DIARIAS A PAGAR100000000008389037700</t>
  </si>
  <si>
    <t>218910200'= DIARIAS A PAGAR100000000008403534728</t>
  </si>
  <si>
    <t>218910200'= DIARIAS A PAGAR100000000008471275759</t>
  </si>
  <si>
    <t>218910200'= DIARIAS A PAGAR100000000008502159780</t>
  </si>
  <si>
    <t>218910200'= DIARIAS A PAGAR100000000008610700704</t>
  </si>
  <si>
    <t>218910200'= DIARIAS A PAGAR100000000008687718721</t>
  </si>
  <si>
    <t>218910200'= DIARIAS A PAGAR100000000008691815728</t>
  </si>
  <si>
    <t>218910200'= DIARIAS A PAGAR100000000008741297709</t>
  </si>
  <si>
    <t>218910200'= DIARIAS A PAGAR100000000008751517795</t>
  </si>
  <si>
    <t>218910200'= DIARIAS A PAGAR100000000008958166797</t>
  </si>
  <si>
    <t>218910200'= DIARIAS A PAGAR100000000009074683738</t>
  </si>
  <si>
    <t>218910200'= DIARIAS A PAGAR100000000009097912792</t>
  </si>
  <si>
    <t>218910200'= DIARIAS A PAGAR100000000009175552795</t>
  </si>
  <si>
    <t>218910200'= DIARIAS A PAGAR100000000009233861732</t>
  </si>
  <si>
    <t>218910200'= DIARIAS A PAGAR100000000009265267747</t>
  </si>
  <si>
    <t>218910200'= DIARIAS A PAGAR100000000009285929796</t>
  </si>
  <si>
    <t>218910200'= DIARIAS A PAGAR100000000009296059771</t>
  </si>
  <si>
    <t>218910200'= DIARIAS A PAGAR100000000009409138795</t>
  </si>
  <si>
    <t>218910200'= DIARIAS A PAGAR100000000009480332744</t>
  </si>
  <si>
    <t>218910200'= DIARIAS A PAGAR100000000009522848719</t>
  </si>
  <si>
    <t>218910200'= DIARIAS A PAGAR100000000009537610705</t>
  </si>
  <si>
    <t>218910200'= DIARIAS A PAGAR100000000009551885716</t>
  </si>
  <si>
    <t>218910200'= DIARIAS A PAGAR100000000009621077788</t>
  </si>
  <si>
    <t>218910200'= DIARIAS A PAGAR100000000009625244760</t>
  </si>
  <si>
    <t>218910200'= DIARIAS A PAGAR100000000009667427706</t>
  </si>
  <si>
    <t>218910200'= DIARIAS A PAGAR100000000009710217755</t>
  </si>
  <si>
    <t>218910200'= DIARIAS A PAGAR100000000009715087710</t>
  </si>
  <si>
    <t>218910200'= DIARIAS A PAGAR100000000009773174719</t>
  </si>
  <si>
    <t>218910200'= DIARIAS A PAGAR100000000009860243760</t>
  </si>
  <si>
    <t>218910200'= DIARIAS A PAGAR100000000009989182701</t>
  </si>
  <si>
    <t>218910200'= DIARIAS A PAGAR100000000010001335758</t>
  </si>
  <si>
    <t>218910200'= DIARIAS A PAGAR100000000010029617774</t>
  </si>
  <si>
    <t>218910200'= DIARIAS A PAGAR100000000010104989750</t>
  </si>
  <si>
    <t>218910200'= DIARIAS A PAGAR100000000010125054726</t>
  </si>
  <si>
    <t>218910200'= DIARIAS A PAGAR100000000010238278751</t>
  </si>
  <si>
    <t>218910200'= DIARIAS A PAGAR100000000010505533731</t>
  </si>
  <si>
    <t>218910200'= DIARIAS A PAGAR100000000010544676769</t>
  </si>
  <si>
    <t>218910200'= DIARIAS A PAGAR100000000010678049785</t>
  </si>
  <si>
    <t>218910200'= DIARIAS A PAGAR100000000010748275703</t>
  </si>
  <si>
    <t>218910200'= DIARIAS A PAGAR100000000010913562700</t>
  </si>
  <si>
    <t>218910200'= DIARIAS A PAGAR100000000010946153744</t>
  </si>
  <si>
    <t>218910200'= DIARIAS A PAGAR100000000010949347710</t>
  </si>
  <si>
    <t>218910200'= DIARIAS A PAGAR100000000010980620783</t>
  </si>
  <si>
    <t>218910200'= DIARIAS A PAGAR100000000010986762709</t>
  </si>
  <si>
    <t>218910200'= DIARIAS A PAGAR100000000011069612774</t>
  </si>
  <si>
    <t>218910200'= DIARIAS A PAGAR100000000011093884703</t>
  </si>
  <si>
    <t>218910200'= DIARIAS A PAGAR100000000011103375741</t>
  </si>
  <si>
    <t>218910200'= DIARIAS A PAGAR100000000011103390708</t>
  </si>
  <si>
    <t>218910200'= DIARIAS A PAGAR100000000011106048741</t>
  </si>
  <si>
    <t>218910200'= DIARIAS A PAGAR100000000011128990733</t>
  </si>
  <si>
    <t>218910200'= DIARIAS A PAGAR100000000011146789700</t>
  </si>
  <si>
    <t>218910200'= DIARIAS A PAGAR100000000011254992731</t>
  </si>
  <si>
    <t>218910200'= DIARIAS A PAGAR100000000011485189756</t>
  </si>
  <si>
    <t>218910200'= DIARIAS A PAGAR100000000011496825748</t>
  </si>
  <si>
    <t>218910200'= DIARIAS A PAGAR100000000011621224716</t>
  </si>
  <si>
    <t>218910200'= DIARIAS A PAGAR100000000011624919731</t>
  </si>
  <si>
    <t>218910200'= DIARIAS A PAGAR100000000011670149790</t>
  </si>
  <si>
    <t>218910200'= DIARIAS A PAGAR100000000011748498789</t>
  </si>
  <si>
    <t>218910200'= DIARIAS A PAGAR100000000011753893747</t>
  </si>
  <si>
    <t>218910200'= DIARIAS A PAGAR100000000011882656792</t>
  </si>
  <si>
    <t>218910200'= DIARIAS A PAGAR100000000011888471719</t>
  </si>
  <si>
    <t>218910200'= DIARIAS A PAGAR100000000011930765797</t>
  </si>
  <si>
    <t>218910200'= DIARIAS A PAGAR100000000011975532740</t>
  </si>
  <si>
    <t>218910200'= DIARIAS A PAGAR100000000012010504720</t>
  </si>
  <si>
    <t>218910200'= DIARIAS A PAGAR100000000012116849705</t>
  </si>
  <si>
    <t>218910200'= DIARIAS A PAGAR100000000012133147713</t>
  </si>
  <si>
    <t>218910200'= DIARIAS A PAGAR100000000012153142725</t>
  </si>
  <si>
    <t>218910200'= DIARIAS A PAGAR100000000012178480705</t>
  </si>
  <si>
    <t>218910200'= DIARIAS A PAGAR100000000012179313764</t>
  </si>
  <si>
    <t>218910200'= DIARIAS A PAGAR100000000012207050718</t>
  </si>
  <si>
    <t>218910200'= DIARIAS A PAGAR100000000012228568759</t>
  </si>
  <si>
    <t>218910200'= DIARIAS A PAGAR100000000012232702707</t>
  </si>
  <si>
    <t>218910200'= DIARIAS A PAGAR100000000012243559706</t>
  </si>
  <si>
    <t>218910200'= DIARIAS A PAGAR100000000012243564700</t>
  </si>
  <si>
    <t>218910200'= DIARIAS A PAGAR100000000012323155750</t>
  </si>
  <si>
    <t>218910200'= DIARIAS A PAGAR100000000012360509756</t>
  </si>
  <si>
    <t>218910200'= DIARIAS A PAGAR100000000012388168783</t>
  </si>
  <si>
    <t>218910200'= DIARIAS A PAGAR100000000012416679775</t>
  </si>
  <si>
    <t>218910200'= DIARIAS A PAGAR100000000012530156786</t>
  </si>
  <si>
    <t>218910200'= DIARIAS A PAGAR100000000012603865706</t>
  </si>
  <si>
    <t>218910200'= DIARIAS A PAGAR100000000012609177704</t>
  </si>
  <si>
    <t>218910200'= DIARIAS A PAGAR100000000012662396776</t>
  </si>
  <si>
    <t>218910200'= DIARIAS A PAGAR100000000012853099792</t>
  </si>
  <si>
    <t>218910200'= DIARIAS A PAGAR100000000012907866745</t>
  </si>
  <si>
    <t>218910200'= DIARIAS A PAGAR100000000012952461716</t>
  </si>
  <si>
    <t>218910200'= DIARIAS A PAGAR100000000013045670792</t>
  </si>
  <si>
    <t>218910200'= DIARIAS A PAGAR100000000013069590713</t>
  </si>
  <si>
    <t>218910200'= DIARIAS A PAGAR100000000013088310720</t>
  </si>
  <si>
    <t>218910200'= DIARIAS A PAGAR100000000013151337767</t>
  </si>
  <si>
    <t>218910200'= DIARIAS A PAGAR100000000013151475728</t>
  </si>
  <si>
    <t>218910200'= DIARIAS A PAGAR100000000013194064754</t>
  </si>
  <si>
    <t>218910200'= DIARIAS A PAGAR100000000013258665710</t>
  </si>
  <si>
    <t>218910200'= DIARIAS A PAGAR100000000013314942737</t>
  </si>
  <si>
    <t>218910200'= DIARIAS A PAGAR100000000013333191776</t>
  </si>
  <si>
    <t>218910200'= DIARIAS A PAGAR100000000013392853712</t>
  </si>
  <si>
    <t>218910200'= DIARIAS A PAGAR100000000013446574786</t>
  </si>
  <si>
    <t>218910200'= DIARIAS A PAGAR100000000013451535700</t>
  </si>
  <si>
    <t>218910200'= DIARIAS A PAGAR100000000013477071743</t>
  </si>
  <si>
    <t>218910200'= DIARIAS A PAGAR100000000013480920764</t>
  </si>
  <si>
    <t>218910200'= DIARIAS A PAGAR100000000013482043701</t>
  </si>
  <si>
    <t>218910200'= DIARIAS A PAGAR100000000013484367784</t>
  </si>
  <si>
    <t>218910200'= DIARIAS A PAGAR100000000013497946788</t>
  </si>
  <si>
    <t>218910200'= DIARIAS A PAGAR100000000013533250750</t>
  </si>
  <si>
    <t>218910200'= DIARIAS A PAGAR100000000013668542767</t>
  </si>
  <si>
    <t>218910200'= DIARIAS A PAGAR100000000013741060704</t>
  </si>
  <si>
    <t>218910200'= DIARIAS A PAGAR100000000013874852709</t>
  </si>
  <si>
    <t>218910200'= DIARIAS A PAGAR100000000013900181721</t>
  </si>
  <si>
    <t>218910200'= DIARIAS A PAGAR100000000013967293726</t>
  </si>
  <si>
    <t>218910200'= DIARIAS A PAGAR100000000013986385797</t>
  </si>
  <si>
    <t>218910200'= DIARIAS A PAGAR100000000013997958726</t>
  </si>
  <si>
    <t>218910200'= DIARIAS A PAGAR100000000014010890703</t>
  </si>
  <si>
    <t>218910200'= DIARIAS A PAGAR100000000014026860728</t>
  </si>
  <si>
    <t>218910200'= DIARIAS A PAGAR100000000014061197762</t>
  </si>
  <si>
    <t>218910200'= DIARIAS A PAGAR100000000014075506754</t>
  </si>
  <si>
    <t>218910200'= DIARIAS A PAGAR100000000014134212707</t>
  </si>
  <si>
    <t>218910200'= DIARIAS A PAGAR100000000014445540773</t>
  </si>
  <si>
    <t>218910200'= DIARIAS A PAGAR100000000014449976703</t>
  </si>
  <si>
    <t>218910200'= DIARIAS A PAGAR100000000014455754776</t>
  </si>
  <si>
    <t>218910200'= DIARIAS A PAGAR100000000014460027720</t>
  </si>
  <si>
    <t>218910200'= DIARIAS A PAGAR100000000014461291790</t>
  </si>
  <si>
    <t>218910200'= DIARIAS A PAGAR100000000014483941712</t>
  </si>
  <si>
    <t>218910200'= DIARIAS A PAGAR100000000014513251778</t>
  </si>
  <si>
    <t>218910200'= DIARIAS A PAGAR100000000014515368796</t>
  </si>
  <si>
    <t>218910200'= DIARIAS A PAGAR100000000014524145729</t>
  </si>
  <si>
    <t>218910200'= DIARIAS A PAGAR100000000014624773721</t>
  </si>
  <si>
    <t>218910200'= DIARIAS A PAGAR100000000016175439775</t>
  </si>
  <si>
    <t>218910200'= DIARIAS A PAGAR100000000025663975896</t>
  </si>
  <si>
    <t>218910200'= DIARIAS A PAGAR100000000030701821787</t>
  </si>
  <si>
    <t>218910200'= DIARIAS A PAGAR100000000031779108800</t>
  </si>
  <si>
    <t>218910200'= DIARIAS A PAGAR100000000033051062715</t>
  </si>
  <si>
    <t>218910200'= DIARIAS A PAGAR100000000044134282691</t>
  </si>
  <si>
    <t>218910200'= DIARIAS A PAGAR100000000046178325134</t>
  </si>
  <si>
    <t>218910200'= DIARIAS A PAGAR100000000049006843768</t>
  </si>
  <si>
    <t>218910200'= DIARIAS A PAGAR100000000050443631700</t>
  </si>
  <si>
    <t>218910200'= DIARIAS A PAGAR100000000053362098720</t>
  </si>
  <si>
    <t>218910200'= DIARIAS A PAGAR100000000064475867720</t>
  </si>
  <si>
    <t>218910200'= DIARIAS A PAGAR100000000072286717753</t>
  </si>
  <si>
    <t>218910200'= DIARIAS A PAGAR100000000078522471720</t>
  </si>
  <si>
    <t>218910200'= DIARIAS A PAGAR100000000081392524768</t>
  </si>
  <si>
    <t>218910200'= DIARIAS A PAGAR100000000081756607753</t>
  </si>
  <si>
    <t>218910200'= DIARIAS A PAGAR100000000085951609704</t>
  </si>
  <si>
    <t>218910200'= DIARIAS A PAGAR100000000086076477768</t>
  </si>
  <si>
    <t>218910200'= DIARIAS A PAGAR100000000086704702687</t>
  </si>
  <si>
    <t>218910200'= DIARIAS A PAGAR100000000096080558572</t>
  </si>
  <si>
    <t>218910200'= DIARIAS A PAGAR100000000096330546720</t>
  </si>
  <si>
    <t>218910200'= DIARIAS A PAGAR100000000097503274700</t>
  </si>
  <si>
    <t>218910200'= DIARIAS A PAGAR100000000099275180725</t>
  </si>
  <si>
    <t>218910200'= DIARIAS A PAGAR105000026600021221707</t>
  </si>
  <si>
    <t>218910200'= DIARIAS A PAGAR105000026600085062723</t>
  </si>
  <si>
    <t>218910200'= DIARIAS A PAGAR105000026600345967712</t>
  </si>
  <si>
    <t>218910200'= DIARIAS A PAGAR105000026600479751722</t>
  </si>
  <si>
    <t>218910200'= DIARIAS A PAGAR105000026600606255702</t>
  </si>
  <si>
    <t>218910200'= DIARIAS A PAGAR105000026600950520705</t>
  </si>
  <si>
    <t>218910200'= DIARIAS A PAGAR105000026601406066702</t>
  </si>
  <si>
    <t>218910200'= DIARIAS A PAGAR105000026601652326766</t>
  </si>
  <si>
    <t>218910200'= DIARIAS A PAGAR105000026601851133704</t>
  </si>
  <si>
    <t>218910200'= DIARIAS A PAGAR105000026602051085714</t>
  </si>
  <si>
    <t>218910200'= DIARIAS A PAGAR105000026602132647739</t>
  </si>
  <si>
    <t>218910200'= DIARIAS A PAGAR105000026602155157738</t>
  </si>
  <si>
    <t>218910200'= DIARIAS A PAGAR105000026602505136769</t>
  </si>
  <si>
    <t>218910200'= DIARIAS A PAGAR105000026603248614781</t>
  </si>
  <si>
    <t>218910200'= DIARIAS A PAGAR105000026603318464708</t>
  </si>
  <si>
    <t>218910200'= DIARIAS A PAGAR105000026603595051718</t>
  </si>
  <si>
    <t>218910200'= DIARIAS A PAGAR105000026603870112778</t>
  </si>
  <si>
    <t>218910200'= DIARIAS A PAGAR105000026604412254704</t>
  </si>
  <si>
    <t>218910200'= DIARIAS A PAGAR105000026605151986767</t>
  </si>
  <si>
    <t>218910200'= DIARIAS A PAGAR105000026605282052776</t>
  </si>
  <si>
    <t>218910200'= DIARIAS A PAGAR105000026605314448726</t>
  </si>
  <si>
    <t>218910200'= DIARIAS A PAGAR105000026605320369646</t>
  </si>
  <si>
    <t>218910200'= DIARIAS A PAGAR105000026605361046701</t>
  </si>
  <si>
    <t>218910200'= DIARIAS A PAGAR105000026605492202758</t>
  </si>
  <si>
    <t>218910200'= DIARIAS A PAGAR105000026605519024774</t>
  </si>
  <si>
    <t>218910200'= DIARIAS A PAGAR105000026605532915725</t>
  </si>
  <si>
    <t>218910200'= DIARIAS A PAGAR105000026605618288737</t>
  </si>
  <si>
    <t>218910200'= DIARIAS A PAGAR105000026605645709748</t>
  </si>
  <si>
    <t>218910200'= DIARIAS A PAGAR105000026605678774778</t>
  </si>
  <si>
    <t>218910200'= DIARIAS A PAGAR105000026605791053770</t>
  </si>
  <si>
    <t>218910200'= DIARIAS A PAGAR105000026605869949718</t>
  </si>
  <si>
    <t>218910200'= DIARIAS A PAGAR105000026605977083718</t>
  </si>
  <si>
    <t>218910200'= DIARIAS A PAGAR105000026606070982797</t>
  </si>
  <si>
    <t>218910200'= DIARIAS A PAGAR105000026607034952752</t>
  </si>
  <si>
    <t>218910200'= DIARIAS A PAGAR105000026607154974729</t>
  </si>
  <si>
    <t>218910200'= DIARIAS A PAGAR105000026607349170742</t>
  </si>
  <si>
    <t>218910200'= DIARIAS A PAGAR105000026607450725770</t>
  </si>
  <si>
    <t>218910200'= DIARIAS A PAGAR105000026607454288782</t>
  </si>
  <si>
    <t>218910200'= DIARIAS A PAGAR105000026607712093717</t>
  </si>
  <si>
    <t>218910200'= DIARIAS A PAGAR105000026607808975796</t>
  </si>
  <si>
    <t>218910200'= DIARIAS A PAGAR105000026607844342714</t>
  </si>
  <si>
    <t>218910200'= DIARIAS A PAGAR105000026607876820719</t>
  </si>
  <si>
    <t>218910200'= DIARIAS A PAGAR105000026607887245761</t>
  </si>
  <si>
    <t>218910200'= DIARIAS A PAGAR105000026607912863710</t>
  </si>
  <si>
    <t>218910200'= DIARIAS A PAGAR105000026608034666769</t>
  </si>
  <si>
    <t>218910200'= DIARIAS A PAGAR105000026608389037700</t>
  </si>
  <si>
    <t>218910200'= DIARIAS A PAGAR105000026608403534728</t>
  </si>
  <si>
    <t>218910200'= DIARIAS A PAGAR105000026608471275759</t>
  </si>
  <si>
    <t>218910200'= DIARIAS A PAGAR105000026608502159780</t>
  </si>
  <si>
    <t>218910200'= DIARIAS A PAGAR105000026608610700704</t>
  </si>
  <si>
    <t>218910200'= DIARIAS A PAGAR105000026608687718721</t>
  </si>
  <si>
    <t>218910200'= DIARIAS A PAGAR105000026608691815728</t>
  </si>
  <si>
    <t>218910200'= DIARIAS A PAGAR105000026608741297709</t>
  </si>
  <si>
    <t>218910200'= DIARIAS A PAGAR105000026609083315762</t>
  </si>
  <si>
    <t>218910200'= DIARIAS A PAGAR105000026609125619713</t>
  </si>
  <si>
    <t>218910200'= DIARIAS A PAGAR105000026609175552795</t>
  </si>
  <si>
    <t>218910200'= DIARIAS A PAGAR105000026609233861732</t>
  </si>
  <si>
    <t>218910200'= DIARIAS A PAGAR105000026609285929796</t>
  </si>
  <si>
    <t>218910200'= DIARIAS A PAGAR105000026609409138795</t>
  </si>
  <si>
    <t>218910200'= DIARIAS A PAGAR105000026609537610705</t>
  </si>
  <si>
    <t>218910200'= DIARIAS A PAGAR105000026609621077788</t>
  </si>
  <si>
    <t>218910200'= DIARIAS A PAGAR105000026609625244760</t>
  </si>
  <si>
    <t>218910200'= DIARIAS A PAGAR105000026609667427706</t>
  </si>
  <si>
    <t>218910200'= DIARIAS A PAGAR105000026609715087710</t>
  </si>
  <si>
    <t>218910200'= DIARIAS A PAGAR105000026609860243760</t>
  </si>
  <si>
    <t>218910200'= DIARIAS A PAGAR105000026610029617774</t>
  </si>
  <si>
    <t>218910200'= DIARIAS A PAGAR105000026610104989750</t>
  </si>
  <si>
    <t>218910200'= DIARIAS A PAGAR105000026610238278751</t>
  </si>
  <si>
    <t>218910200'= DIARIAS A PAGAR105000026610247161713</t>
  </si>
  <si>
    <t>218910200'= DIARIAS A PAGAR105000026610505533731</t>
  </si>
  <si>
    <t>218910200'= DIARIAS A PAGAR105000026610748275703</t>
  </si>
  <si>
    <t>218910200'= DIARIAS A PAGAR105000026610980620783</t>
  </si>
  <si>
    <t>218910200'= DIARIAS A PAGAR105000026611036758770</t>
  </si>
  <si>
    <t>218910200'= DIARIAS A PAGAR105000026611069612774</t>
  </si>
  <si>
    <t>218910200'= DIARIAS A PAGAR105000026611093884703</t>
  </si>
  <si>
    <t>218910200'= DIARIAS A PAGAR105000026611103375741</t>
  </si>
  <si>
    <t>218910200'= DIARIAS A PAGAR105000026611103390708</t>
  </si>
  <si>
    <t>218910200'= DIARIAS A PAGAR105000026611106048741</t>
  </si>
  <si>
    <t>218910200'= DIARIAS A PAGAR105000026611146789700</t>
  </si>
  <si>
    <t>218910200'= DIARIAS A PAGAR105000026611496825748</t>
  </si>
  <si>
    <t>218910200'= DIARIAS A PAGAR105000026611621224716</t>
  </si>
  <si>
    <t>218910200'= DIARIAS A PAGAR105000026611748498789</t>
  </si>
  <si>
    <t>218910200'= DIARIAS A PAGAR105000026611753893747</t>
  </si>
  <si>
    <t>218910200'= DIARIAS A PAGAR105000026611882656792</t>
  </si>
  <si>
    <t>218910200'= DIARIAS A PAGAR105000026611888471719</t>
  </si>
  <si>
    <t>218910200'= DIARIAS A PAGAR105000026611930765797</t>
  </si>
  <si>
    <t>218910200'= DIARIAS A PAGAR105000026612010504720</t>
  </si>
  <si>
    <t>218910200'= DIARIAS A PAGAR105000026612116849705</t>
  </si>
  <si>
    <t>218910200'= DIARIAS A PAGAR105000026612153142725</t>
  </si>
  <si>
    <t>218910200'= DIARIAS A PAGAR105000026612178480705</t>
  </si>
  <si>
    <t>218910200'= DIARIAS A PAGAR105000026612207050718</t>
  </si>
  <si>
    <t>218910200'= DIARIAS A PAGAR105000026612228568759</t>
  </si>
  <si>
    <t>218910200'= DIARIAS A PAGAR105000026612243564700</t>
  </si>
  <si>
    <t>218910200'= DIARIAS A PAGAR105000026612360509756</t>
  </si>
  <si>
    <t>218910200'= DIARIAS A PAGAR105000026612416679775</t>
  </si>
  <si>
    <t>218910200'= DIARIAS A PAGAR105000026612530156786</t>
  </si>
  <si>
    <t>218910200'= DIARIAS A PAGAR105000026612603865706</t>
  </si>
  <si>
    <t>218910200'= DIARIAS A PAGAR105000026612609177704</t>
  </si>
  <si>
    <t>218910200'= DIARIAS A PAGAR105000026612662396776</t>
  </si>
  <si>
    <t>218910200'= DIARIAS A PAGAR105000026612952461716</t>
  </si>
  <si>
    <t>218910200'= DIARIAS A PAGAR105000026613045670792</t>
  </si>
  <si>
    <t>218910200'= DIARIAS A PAGAR105000026613069590713</t>
  </si>
  <si>
    <t>218910200'= DIARIAS A PAGAR105000026613151337767</t>
  </si>
  <si>
    <t>218910200'= DIARIAS A PAGAR105000026613151475728</t>
  </si>
  <si>
    <t>218910200'= DIARIAS A PAGAR105000026613258665710</t>
  </si>
  <si>
    <t>218910200'= DIARIAS A PAGAR105000026613333191776</t>
  </si>
  <si>
    <t>218910200'= DIARIAS A PAGAR105000026613446574786</t>
  </si>
  <si>
    <t>218910200'= DIARIAS A PAGAR105000026613480920764</t>
  </si>
  <si>
    <t>218910200'= DIARIAS A PAGAR105000026613497946788</t>
  </si>
  <si>
    <t>218910200'= DIARIAS A PAGAR105000026613533250750</t>
  </si>
  <si>
    <t>218910200'= DIARIAS A PAGAR105000026613668542767</t>
  </si>
  <si>
    <t>218910200'= DIARIAS A PAGAR105000026613955154769</t>
  </si>
  <si>
    <t>218910200'= DIARIAS A PAGAR105000026613986385797</t>
  </si>
  <si>
    <t>218910200'= DIARIAS A PAGAR105000026614010890703</t>
  </si>
  <si>
    <t>218910200'= DIARIAS A PAGAR105000026614134212707</t>
  </si>
  <si>
    <t>218910200'= DIARIAS A PAGAR105000026614445540773</t>
  </si>
  <si>
    <t>218910200'= DIARIAS A PAGAR105000026614449976703</t>
  </si>
  <si>
    <t>218910200'= DIARIAS A PAGAR105000026614461291790</t>
  </si>
  <si>
    <t>218910200'= DIARIAS A PAGAR105000026614513251778</t>
  </si>
  <si>
    <t>218910200'= DIARIAS A PAGAR105000026614515368796</t>
  </si>
  <si>
    <t>218910200'= DIARIAS A PAGAR105000026614524145729</t>
  </si>
  <si>
    <t>218910200'= DIARIAS A PAGAR105000026625663975896</t>
  </si>
  <si>
    <t>218910200'= DIARIAS A PAGAR105000026630701821787</t>
  </si>
  <si>
    <t>218910200'= DIARIAS A PAGAR105000026646178325134</t>
  </si>
  <si>
    <t>218910200'= DIARIAS A PAGAR105000026650443631700</t>
  </si>
  <si>
    <t>218910200'= DIARIAS A PAGAR105000026664475867720</t>
  </si>
  <si>
    <t>218910200'= DIARIAS A PAGAR105000026672286717753</t>
  </si>
  <si>
    <t>218910200'= DIARIAS A PAGAR105000026683429824753</t>
  </si>
  <si>
    <t>218910200'= DIARIAS A PAGAR105000026689919270768</t>
  </si>
  <si>
    <t>218910200'= DIARIAS A PAGAR105000026696080558572</t>
  </si>
  <si>
    <t>218910200'= DIARIAS A PAGAR105000026697503274700</t>
  </si>
  <si>
    <t>218910300'= SUPRIMENTOS DE FUNDOS A PAGAR105000026600000000000191</t>
  </si>
  <si>
    <t>2.1.5.12 Outras Obrigações - Suprimentos de Fundos a Pagar</t>
  </si>
  <si>
    <t>218913601'= GRU-VALORES EM TRANSITO PARA ESTORNO DESPESA1491000000</t>
  </si>
  <si>
    <t>2.1.5.13 Outras Obrigações - GRU em Transito e Ordens Bancárias</t>
  </si>
  <si>
    <t>218913603'= ORDENS BANCARIAS CANCELADAS14919800002022OB805102</t>
  </si>
  <si>
    <t>218913603'= ORDENS BANCARIAS CANCELADAS14919800002023OB800189</t>
  </si>
  <si>
    <t>218913603'= ORDENS BANCARIAS CANCELADAS14919800002023OB800190</t>
  </si>
  <si>
    <t>218913603'= ORDENS BANCARIAS CANCELADAS14919800002023OB800295</t>
  </si>
  <si>
    <t>218913603'= ORDENS BANCARIAS CANCELADAS14919800002023OB800305</t>
  </si>
  <si>
    <t>218913603'= ORDENS BANCARIAS CANCELADAS14919800002023OB800492</t>
  </si>
  <si>
    <t>218913603'= ORDENS BANCARIAS CANCELADAS14919800002023OB800494</t>
  </si>
  <si>
    <t>218913603'= ORDENS BANCARIAS CANCELADAS14919800002023OB800574</t>
  </si>
  <si>
    <t>218913603'= ORDENS BANCARIAS CANCELADAS14919800002023OB800588</t>
  </si>
  <si>
    <t>218913603'= ORDENS BANCARIAS CANCELADAS14919800002023OB800747</t>
  </si>
  <si>
    <t>218913603'= ORDENS BANCARIAS CANCELADAS14919800002023OB800768</t>
  </si>
  <si>
    <t>218913603'= ORDENS BANCARIAS CANCELADAS14919800002023OB800929</t>
  </si>
  <si>
    <t>218913603'= ORDENS BANCARIAS CANCELADAS14919800002023OB801055</t>
  </si>
  <si>
    <t>218913603'= ORDENS BANCARIAS CANCELADAS14919800002023OB801085</t>
  </si>
  <si>
    <t>218913603'= ORDENS BANCARIAS CANCELADAS14919800002023OB801147</t>
  </si>
  <si>
    <t>218913603'= ORDENS BANCARIAS CANCELADAS14919800002023OB801159</t>
  </si>
  <si>
    <t>218913603'= ORDENS BANCARIAS CANCELADAS14919800002023OB801186</t>
  </si>
  <si>
    <t>218913603'= ORDENS BANCARIAS CANCELADAS14919800002023OB801318</t>
  </si>
  <si>
    <t>218913603'= ORDENS BANCARIAS CANCELADAS14919800002023OB801454</t>
  </si>
  <si>
    <t>218913603'= ORDENS BANCARIAS CANCELADAS14919800002023OB801603</t>
  </si>
  <si>
    <t>218913603'= ORDENS BANCARIAS CANCELADAS14919800002023OB801751</t>
  </si>
  <si>
    <t>218913603'= ORDENS BANCARIAS CANCELADAS14919800002023OB802103</t>
  </si>
  <si>
    <t>218913603'= ORDENS BANCARIAS CANCELADAS14919800002023OB802106</t>
  </si>
  <si>
    <t>218913603'= ORDENS BANCARIAS CANCELADAS14919800002023OB802250</t>
  </si>
  <si>
    <t>218913603'= ORDENS BANCARIAS CANCELADAS14919800002023OB802505</t>
  </si>
  <si>
    <t>218913603'= ORDENS BANCARIAS CANCELADAS14919800002023OB802541</t>
  </si>
  <si>
    <t>218913603'= ORDENS BANCARIAS CANCELADAS14919800002023OB802572</t>
  </si>
  <si>
    <t>218913603'= ORDENS BANCARIAS CANCELADAS14919800002023OB802574</t>
  </si>
  <si>
    <t>218913603'= ORDENS BANCARIAS CANCELADAS14919800002023OB802644</t>
  </si>
  <si>
    <t>218913603'= ORDENS BANCARIAS CANCELADAS14919800002023OB802814</t>
  </si>
  <si>
    <t>218913603'= ORDENS BANCARIAS CANCELADAS14919800002023OB802915</t>
  </si>
  <si>
    <t>218913603'= ORDENS BANCARIAS CANCELADAS14919800002023OB802949</t>
  </si>
  <si>
    <t>218913603'= ORDENS BANCARIAS CANCELADAS14919800002023OB803034</t>
  </si>
  <si>
    <t>218913603'= ORDENS BANCARIAS CANCELADAS14919800002023OB803300</t>
  </si>
  <si>
    <t>218913603'= ORDENS BANCARIAS CANCELADAS14919800002023OB803334</t>
  </si>
  <si>
    <t>218913603'= ORDENS BANCARIAS CANCELADAS14919800002023OB803369</t>
  </si>
  <si>
    <t>218913603'= ORDENS BANCARIAS CANCELADAS14919800002023OB803382</t>
  </si>
  <si>
    <t>218913603'= ORDENS BANCARIAS CANCELADAS14919800002023OB803889</t>
  </si>
  <si>
    <t>218913603'= ORDENS BANCARIAS CANCELADAS14919800002023OB804047</t>
  </si>
  <si>
    <t>218913603'= ORDENS BANCARIAS CANCELADAS14919800002023OB804048</t>
  </si>
  <si>
    <t>218913603'= ORDENS BANCARIAS CANCELADAS14919800002023OB804494</t>
  </si>
  <si>
    <t>218913603'= ORDENS BANCARIAS CANCELADAS14919800002023OB804619</t>
  </si>
  <si>
    <t>218913603'= ORDENS BANCARIAS CANCELADAS14919800002023OB804662</t>
  </si>
  <si>
    <t>218913603'= ORDENS BANCARIAS CANCELADAS14919800002023OB805057</t>
  </si>
  <si>
    <t>218913603'= ORDENS BANCARIAS CANCELADAS14919800002023OB805178</t>
  </si>
  <si>
    <t>218913603'= ORDENS BANCARIAS CANCELADAS14919800002023OB805802</t>
  </si>
  <si>
    <t>218913603'= ORDENS BANCARIAS CANCELADAS14919800002023OB805874</t>
  </si>
  <si>
    <t>218919501'= PASSIVOS EM LIQUIDACAO A CLASSIFICAR1490000000</t>
  </si>
  <si>
    <t>2.1.5.13 Outras Obrigações - Passivos em Liquidação</t>
  </si>
  <si>
    <t>218810117'= RETENCOES-ENTIDADES REPRESENTATIVAS DE CLASSE100000000027216340000100</t>
  </si>
  <si>
    <t>2.1.5.2 Outras Obrigações - Retenções de Associação dos Empregados/Sindicato</t>
  </si>
  <si>
    <t>218810117'= RETENCOES-ENTIDADES REPRESENTATIVAS DE CLASSE100000000030022727000130</t>
  </si>
  <si>
    <t>218810118'= RETENCOES - SINDICATOS100000000000000000000191</t>
  </si>
  <si>
    <t>218810118'= RETENCOES - SINDICATOS100000000033653247000166</t>
  </si>
  <si>
    <t>218810118'= RETENCOES - SINDICATOS100000000033739699000165</t>
  </si>
  <si>
    <t>218810121'= RETENCOES - PLANOS DE SEGUROS100000000000000000000191</t>
  </si>
  <si>
    <t>2.1.5.3 Outras Obrigações - Retenções Planos de Seguros</t>
  </si>
  <si>
    <t>218810121'= RETENCOES - PLANOS DE SEGUROS100000000001269764730</t>
  </si>
  <si>
    <t>218810121'= RETENCOES - PLANOS DE SEGUROS100000000011518305776</t>
  </si>
  <si>
    <t>218810121'= RETENCOES - PLANOS DE SEGUROS100000000042283770000139</t>
  </si>
  <si>
    <t>218810122'= RETENCOES - EMPRESTIMOS E FINANCIAMENTOS100000000000000000000191</t>
  </si>
  <si>
    <t>2.1.5.4 Outras Obrigações - Retenções Consignações Folha</t>
  </si>
  <si>
    <t>218810122'= RETENCOES - EMPRESTIMOS E FINANCIAMENTOS100000000030022727000130</t>
  </si>
  <si>
    <t>218810122'= RETENCOES - EMPRESTIMOS E FINANCIAMENTOS1000000000PF9999905</t>
  </si>
  <si>
    <t>218810122'= RETENCOES - EMPRESTIMOS E FINANCIAMENTOS1000000000RB0038166</t>
  </si>
  <si>
    <t>218810126'= SERVICOS DE PROCESSAMENTO DE DADOS1000000000PF9999905</t>
  </si>
  <si>
    <t>2.1.5.5 Outras Obrigações - Retenções Folha [Processamento de Dados]</t>
  </si>
  <si>
    <t>218810128'= DEPOSITOS RETIDOS DE FORNECEDORES100000000000000000000191</t>
  </si>
  <si>
    <t>2.1.5.6 Outras Obrigações - Retenções de Fornecedores</t>
  </si>
  <si>
    <t>218810128'= DEPOSITOS RETIDOS DE FORNECEDORES100000000000277106000137</t>
  </si>
  <si>
    <t>218810128'= DEPOSITOS RETIDOS DE FORNECEDORES100000000002445332000105</t>
  </si>
  <si>
    <t>218810128'= DEPOSITOS RETIDOS DE FORNECEDORES100000000003279285000130</t>
  </si>
  <si>
    <t>218810128'= DEPOSITOS RETIDOS DE FORNECEDORES100000000003750757000190</t>
  </si>
  <si>
    <t>218810128'= DEPOSITOS RETIDOS DE FORNECEDORES100000000005234289000127</t>
  </si>
  <si>
    <t>218810128'= DEPOSITOS RETIDOS DE FORNECEDORES100000000007028841000156</t>
  </si>
  <si>
    <t>218810128'= DEPOSITOS RETIDOS DE FORNECEDORES100000000007710046000143</t>
  </si>
  <si>
    <t>218810128'= DEPOSITOS RETIDOS DE FORNECEDORES100000000010421996000162</t>
  </si>
  <si>
    <t>218810128'= DEPOSITOS RETIDOS DE FORNECEDORES100000000014950590000128</t>
  </si>
  <si>
    <t>218810128'= DEPOSITOS RETIDOS DE FORNECEDORES1000000000200246</t>
  </si>
  <si>
    <t>218810128'= DEPOSITOS RETIDOS DE FORNECEDORES100000000021948551000151</t>
  </si>
  <si>
    <t>218810128'= DEPOSITOS RETIDOS DE FORNECEDORES100000000029912565000127</t>
  </si>
  <si>
    <t>218810128'= DEPOSITOS RETIDOS DE FORNECEDORES100000000035045345000146</t>
  </si>
  <si>
    <t>218810128'= DEPOSITOS RETIDOS DE FORNECEDORES100000000038503861000165</t>
  </si>
  <si>
    <t>218810128'= DEPOSITOS RETIDOS DE FORNECEDORES100000000040282584000150</t>
  </si>
  <si>
    <t>218810128'= DEPOSITOS RETIDOS DE FORNECEDORES100000000050400407000184</t>
  </si>
  <si>
    <t>218810128'= DEPOSITOS RETIDOS DE FORNECEDORES100000000072368012000184</t>
  </si>
  <si>
    <t>218810128'= DEPOSITOS RETIDOS DE FORNECEDORES100100000014950590000128</t>
  </si>
  <si>
    <t>218810128'= DEPOSITOS RETIDOS DE FORNECEDORES105000026603279285000130</t>
  </si>
  <si>
    <t>218810128'= DEPOSITOS RETIDOS DE FORNECEDORES105000026603750757000190</t>
  </si>
  <si>
    <t>218810128'= DEPOSITOS RETIDOS DE FORNECEDORES105000026605152318000101</t>
  </si>
  <si>
    <t>218810128'= DEPOSITOS RETIDOS DE FORNECEDORES105000026605234289000127</t>
  </si>
  <si>
    <t>218810128'= DEPOSITOS RETIDOS DE FORNECEDORES105000026607451929000186</t>
  </si>
  <si>
    <t>218810128'= DEPOSITOS RETIDOS DE FORNECEDORES105000026607710046000143</t>
  </si>
  <si>
    <t>218810128'= DEPOSITOS RETIDOS DE FORNECEDORES105000026610213136000133</t>
  </si>
  <si>
    <t>218810128'= DEPOSITOS RETIDOS DE FORNECEDORES105000026611451053000145</t>
  </si>
  <si>
    <t>218810128'= DEPOSITOS RETIDOS DE FORNECEDORES105000026614950590000128</t>
  </si>
  <si>
    <t>218810128'= DEPOSITOS RETIDOS DE FORNECEDORES105000026621948551000151</t>
  </si>
  <si>
    <t>218810128'= DEPOSITOS RETIDOS DE FORNECEDORES105000026638503861000165</t>
  </si>
  <si>
    <t>218810128'= DEPOSITOS RETIDOS DE FORNECEDORES105000026640282584000150</t>
  </si>
  <si>
    <t>218810128'= DEPOSITOS RETIDOS DE FORNECEDORES144400000005152318000101</t>
  </si>
  <si>
    <t>218810128'= DEPOSITOS RETIDOS DE FORNECEDORES305000026600277106000137</t>
  </si>
  <si>
    <t>218810128'= DEPOSITOS RETIDOS DE FORNECEDORES305000026602445332000105</t>
  </si>
  <si>
    <t>218810128'= DEPOSITOS RETIDOS DE FORNECEDORES305000026605234289000127</t>
  </si>
  <si>
    <t>218810129'= DEPOSITOS RETIDOS PESSOAL/BENEFICIO A PAGAR100000000000831918799</t>
  </si>
  <si>
    <t>2.1.5.7 Outras Obrigações - Retenções Pessoal/Benefícios</t>
  </si>
  <si>
    <t>218810129'= DEPOSITOS RETIDOS PESSOAL/BENEFICIO A PAGAR100000000001447184726</t>
  </si>
  <si>
    <t>218810129'= DEPOSITOS RETIDOS PESSOAL/BENEFICIO A PAGAR100000000001578275776</t>
  </si>
  <si>
    <t>218810129'= DEPOSITOS RETIDOS PESSOAL/BENEFICIO A PAGAR100000000001872655777</t>
  </si>
  <si>
    <t>218810129'= DEPOSITOS RETIDOS PESSOAL/BENEFICIO A PAGAR100000000002585313719</t>
  </si>
  <si>
    <t>218810129'= DEPOSITOS RETIDOS PESSOAL/BENEFICIO A PAGAR100000000003851171002247</t>
  </si>
  <si>
    <t>218810129'= DEPOSITOS RETIDOS PESSOAL/BENEFICIO A PAGAR100000000004150881782</t>
  </si>
  <si>
    <t>218810129'= DEPOSITOS RETIDOS PESSOAL/BENEFICIO A PAGAR100000000007788307726</t>
  </si>
  <si>
    <t>218810129'= DEPOSITOS RETIDOS PESSOAL/BENEFICIO A PAGAR100000000007928767767</t>
  </si>
  <si>
    <t>218810129'= DEPOSITOS RETIDOS PESSOAL/BENEFICIO A PAGAR100000000008258790781</t>
  </si>
  <si>
    <t>218810129'= DEPOSITOS RETIDOS PESSOAL/BENEFICIO A PAGAR100000000011006521755</t>
  </si>
  <si>
    <t>218810129'= DEPOSITOS RETIDOS PESSOAL/BENEFICIO A PAGAR100000000011183451776</t>
  </si>
  <si>
    <t>218810129'= DEPOSITOS RETIDOS PESSOAL/BENEFICIO A PAGAR100000000011518305776</t>
  </si>
  <si>
    <t>218810129'= DEPOSITOS RETIDOS PESSOAL/BENEFICIO A PAGAR100000000011871396700</t>
  </si>
  <si>
    <t>218810129'= DEPOSITOS RETIDOS PESSOAL/BENEFICIO A PAGAR100000000012598536754</t>
  </si>
  <si>
    <t>218810129'= DEPOSITOS RETIDOS PESSOAL/BENEFICIO A PAGAR100000000012662396776</t>
  </si>
  <si>
    <t>218810129'= DEPOSITOS RETIDOS PESSOAL/BENEFICIO A PAGAR100000000013451535700</t>
  </si>
  <si>
    <t>218810129'= DEPOSITOS RETIDOS PESSOAL/BENEFICIO A PAGAR100000000013482080747</t>
  </si>
  <si>
    <t>218810129'= DEPOSITOS RETIDOS PESSOAL/BENEFICIO A PAGAR100000000013804907741</t>
  </si>
  <si>
    <t>218810129'= DEPOSITOS RETIDOS PESSOAL/BENEFICIO A PAGAR100000000014058830735</t>
  </si>
  <si>
    <t>218810129'= DEPOSITOS RETIDOS PESSOAL/BENEFICIO A PAGAR100000000014124830858</t>
  </si>
  <si>
    <t>218810129'= DEPOSITOS RETIDOS PESSOAL/BENEFICIO A PAGAR100000000014133347765</t>
  </si>
  <si>
    <t>218810129'= DEPOSITOS RETIDOS PESSOAL/BENEFICIO A PAGAR100000000014846936716</t>
  </si>
  <si>
    <t>218810129'= DEPOSITOS RETIDOS PESSOAL/BENEFICIO A PAGAR100000000014950590000128</t>
  </si>
  <si>
    <t>218810129'= DEPOSITOS RETIDOS PESSOAL/BENEFICIO A PAGAR100000000015768744789</t>
  </si>
  <si>
    <t>218810129'= DEPOSITOS RETIDOS PESSOAL/BENEFICIO A PAGAR100000000016239670740</t>
  </si>
  <si>
    <t>218810129'= DEPOSITOS RETIDOS PESSOAL/BENEFICIO A PAGAR100000000016986708777</t>
  </si>
  <si>
    <t>218810129'= DEPOSITOS RETIDOS PESSOAL/BENEFICIO A PAGAR100000000017252128000145</t>
  </si>
  <si>
    <t>218810129'= DEPOSITOS RETIDOS PESSOAL/BENEFICIO A PAGAR100000000018224233766</t>
  </si>
  <si>
    <t>218810129'= DEPOSITOS RETIDOS PESSOAL/BENEFICIO A PAGAR100000000018300438000150</t>
  </si>
  <si>
    <t>218810129'= DEPOSITOS RETIDOS PESSOAL/BENEFICIO A PAGAR100000000028066342000123</t>
  </si>
  <si>
    <t>218810129'= DEPOSITOS RETIDOS PESSOAL/BENEFICIO A PAGAR100000000028503351000134</t>
  </si>
  <si>
    <t>218810129'= DEPOSITOS RETIDOS PESSOAL/BENEFICIO A PAGAR100000000036026560000162</t>
  </si>
  <si>
    <t>218810129'= DEPOSITOS RETIDOS PESSOAL/BENEFICIO A PAGAR100000000044375018704</t>
  </si>
  <si>
    <t>218810129'= DEPOSITOS RETIDOS PESSOAL/BENEFICIO A PAGAR100000000048180391000108</t>
  </si>
  <si>
    <t>218810129'= DEPOSITOS RETIDOS PESSOAL/BENEFICIO A PAGAR100000000050758071787</t>
  </si>
  <si>
    <t>218810129'= DEPOSITOS RETIDOS PESSOAL/BENEFICIO A PAGAR100000000073046523734</t>
  </si>
  <si>
    <t>218810129'= DEPOSITOS RETIDOS PESSOAL/BENEFICIO A PAGAR100000000081756607753</t>
  </si>
  <si>
    <t>218810129'= DEPOSITOS RETIDOS PESSOAL/BENEFICIO A PAGAR100000000082912939704</t>
  </si>
  <si>
    <t>218810129'= DEPOSITOS RETIDOS PESSOAL/BENEFICIO A PAGAR100000000098185756791</t>
  </si>
  <si>
    <t>218810301'= DEPOSITOS A EFETUAR POR DETERMINACAO JUDICIAL1000000000</t>
  </si>
  <si>
    <t>2.1.5.8 Outras Obrigações - Depósitos a Efetuar Judicial</t>
  </si>
  <si>
    <t>218810303'= DEPOSITOS A EFETUAR PARA RECURSOS JUDICIAIS1000000000</t>
  </si>
  <si>
    <t>218810447'= DEPOSITOS POR DEVOLUCAO DE VALORES NAO RECLAM149100000000000000000191</t>
  </si>
  <si>
    <t>2.1.5.9 Outras Obrigações - Depósitos por Devolução</t>
  </si>
  <si>
    <t>218810447'= DEPOSITOS POR DEVOLUCAO DE VALORES NAO RECLAM149100000000056295000118</t>
  </si>
  <si>
    <t>218810447'= DEPOSITOS POR DEVOLUCAO DE VALORES NAO RECLAM149100000000957796000175</t>
  </si>
  <si>
    <t>218810447'= DEPOSITOS POR DEVOLUCAO DE VALORES NAO RECLAM149100000002099285000195</t>
  </si>
  <si>
    <t>218810447'= DEPOSITOS POR DEVOLUCAO DE VALORES NAO RECLAM149100000002765203784</t>
  </si>
  <si>
    <t>218810447'= DEPOSITOS POR DEVOLUCAO DE VALORES NAO RECLAM149100000003773700000107</t>
  </si>
  <si>
    <t>218810447'= DEPOSITOS POR DEVOLUCAO DE VALORES NAO RECLAM149100000006266575124</t>
  </si>
  <si>
    <t>218810447'= DEPOSITOS POR DEVOLUCAO DE VALORES NAO RECLAM149100000008441748748</t>
  </si>
  <si>
    <t>218810447'= DEPOSITOS POR DEVOLUCAO DE VALORES NAO RECLAM149100000008959183000189</t>
  </si>
  <si>
    <t>218810447'= DEPOSITOS POR DEVOLUCAO DE VALORES NAO RECLAM149100000009219138000584</t>
  </si>
  <si>
    <t>218810447'= DEPOSITOS POR DEVOLUCAO DE VALORES NAO RECLAM149100000010924824743</t>
  </si>
  <si>
    <t>218810447'= DEPOSITOS POR DEVOLUCAO DE VALORES NAO RECLAM149100000011111975710</t>
  </si>
  <si>
    <t>218810447'= DEPOSITOS POR DEVOLUCAO DE VALORES NAO RECLAM149100000014849519000153</t>
  </si>
  <si>
    <t>218810447'= DEPOSITOS POR DEVOLUCAO DE VALORES NAO RECLAM149100000015386390767</t>
  </si>
  <si>
    <t>218810447'= DEPOSITOS POR DEVOLUCAO DE VALORES NAO RECLAM149100000016910594711</t>
  </si>
  <si>
    <t>218810447'= DEPOSITOS POR DEVOLUCAO DE VALORES NAO RECLAM149100000017036435771</t>
  </si>
  <si>
    <t>218810447'= DEPOSITOS POR DEVOLUCAO DE VALORES NAO RECLAM149100000017355711725</t>
  </si>
  <si>
    <t>218810447'= DEPOSITOS POR DEVOLUCAO DE VALORES NAO RECLAM149100000018612274770</t>
  </si>
  <si>
    <t>218810447'= DEPOSITOS POR DEVOLUCAO DE VALORES NAO RECLAM149100000019004218793</t>
  </si>
  <si>
    <t>218810447'= DEPOSITOS POR DEVOLUCAO DE VALORES NAO RECLAM149100000029961505000102</t>
  </si>
  <si>
    <t>218810447'= DEPOSITOS POR DEVOLUCAO DE VALORES NAO RECLAM149100000030295513000138</t>
  </si>
  <si>
    <t>218810447'= DEPOSITOS POR DEVOLUCAO DE VALORES NAO RECLAM149100000030375885000255</t>
  </si>
  <si>
    <t>218810447'= DEPOSITOS POR DEVOLUCAO DE VALORES NAO RECLAM149100000030680829000143</t>
  </si>
  <si>
    <t>218810447'= DEPOSITOS POR DEVOLUCAO DE VALORES NAO RECLAM149100000031957913000124</t>
  </si>
  <si>
    <t>218810447'= DEPOSITOS POR DEVOLUCAO DE VALORES NAO RECLAM149100000032093775000145</t>
  </si>
  <si>
    <t>218810447'= DEPOSITOS POR DEVOLUCAO DE VALORES NAO RECLAM149100000033634254000110</t>
  </si>
  <si>
    <t>218810447'= DEPOSITOS POR DEVOLUCAO DE VALORES NAO RECLAM149100000042277434000183</t>
  </si>
  <si>
    <t>218810447'= DEPOSITOS POR DEVOLUCAO DE VALORES NAO RECLAM149100000042539684000144</t>
  </si>
  <si>
    <t>218810447'= DEPOSITOS POR DEVOLUCAO DE VALORES NAO RECLAM149100000046390209000100</t>
  </si>
  <si>
    <t>218810447'= DEPOSITOS POR DEVOLUCAO DE VALORES NAO RECLAM149100000073710253772</t>
  </si>
  <si>
    <t>218810447'= DEPOSITOS POR DEVOLUCAO DE VALORES NAO RECLAM149100000076535764000143</t>
  </si>
  <si>
    <t>218110000'= ADIANTAMENTOS DE CLIENTES - CONSOLIDACAO28438777000402</t>
  </si>
  <si>
    <t>Obrigações com Clientes</t>
  </si>
  <si>
    <t>2.1.6.1 Obrigações com Clientes -  EKTT 9 SERVICOS DE TRANSMISSAO DE ENERGIA ELETRICA</t>
  </si>
  <si>
    <t>218110000'= ADIANTAMENTOS DE CLIENTES - CONSOLIDACAO28439014000125</t>
  </si>
  <si>
    <t>2.1.6.2 Obrigações com Clientes - NEOENERGIA LAGOA DOS PATOS TRANSMISSAO DE ENERGIA S</t>
  </si>
  <si>
    <t>218110000'= ADIANTAMENTOS DE CLIENTES - CONSOLIDACAO33220880000160</t>
  </si>
  <si>
    <t>2.1.6.3 Obrigações com Clientes -  EBSE ENGENHARIA DE SOLUCOES S.A</t>
  </si>
  <si>
    <t>218110000'= ADIANTAMENTOS DE CLIENTES - CONSOLIDACAO42540211000167</t>
  </si>
  <si>
    <t>2.1.6.4 Obrigações com Clientes -  ELETRONUCLEAR S.A.</t>
  </si>
  <si>
    <t>218110000'= ADIANTAMENTOS DE CLIENTES - CONSOLIDACAO42540211000248</t>
  </si>
  <si>
    <t>218110000'= ADIANTAMENTOS DE CLIENTES - CONSOLIDACAO710300</t>
  </si>
  <si>
    <t>2.1.6.5 Obrigações com Clientes - AMAZÔNIA AZUL TECNOL. DE DEFESA S.A - AMAZUL</t>
  </si>
  <si>
    <t>218110000'= ADIANTAMENTOS DE CLIENTES - CONSOLIDACAO789200</t>
  </si>
  <si>
    <t>2.1.6.6 Obrigações com Clientes - CENTRO DE COORD.DE ESTUDOS DA MARINHA EM SP</t>
  </si>
  <si>
    <t>218912800'= SUBVENCOES E DOACOES PARA INVESTIMENTOSFTATC2019</t>
  </si>
  <si>
    <t>Receita de Subvenção a Realizar</t>
  </si>
  <si>
    <t>2.1.7.1 Subvenções a Pagar - Projetos Industriais de Curto Prazo</t>
  </si>
  <si>
    <t>218912800'= SUBVENCOES E DOACOES PARA INVESTIMENTOSFTATC2020</t>
  </si>
  <si>
    <t>2.1.7.2 Subvenções a Pagar - Matéria Prima</t>
  </si>
  <si>
    <t>218912800'= SUBVENCOES E DOACOES PARA INVESTIMENTOSPF9999905</t>
  </si>
  <si>
    <t>2.1.7.3 Subvenções a Pagar - Pessoal</t>
  </si>
  <si>
    <t>221410302'= CONTRIBUICAO A ENTIDADES DE PREVIDEN. COMPLEM30022727000130</t>
  </si>
  <si>
    <t>2.2.1.1 Obrigações Previdenciárias - Previdência Privada - Termo de Equacionamento</t>
  </si>
  <si>
    <t>222110200'= EMPRESTIMOS INTERNOS -  EM CONTRATOS113206</t>
  </si>
  <si>
    <t>Empréstimos - INB</t>
  </si>
  <si>
    <t>2.2.1.2 Obrigações Previdenciárias - Previdência Privada - Empréstimos Internos INB</t>
  </si>
  <si>
    <t>222120200'= EMPRESTIMOS INTERNOS -  EM CONTRATOS113206</t>
  </si>
  <si>
    <t>227110100'= PROVISAO PARA INDENIZACOES TRABALHISTAS113208</t>
  </si>
  <si>
    <t xml:space="preserve">2.2.2.1 Provisões para Indenizações Trabalhistas a Pagar </t>
  </si>
  <si>
    <t>227410100'= PROVISAO PARA INDENIZACOES CIVEIS113208</t>
  </si>
  <si>
    <t xml:space="preserve">2.2.2.2 Provisões para Indenizações Cíveis a Pagar </t>
  </si>
  <si>
    <t>228912800'= SUBVENCOES E DOACOES PARA INVESTIMENTOS113206</t>
  </si>
  <si>
    <t>2.2.3.1  Subvenções a Realizar LP - Terrenos</t>
  </si>
  <si>
    <t>228912800'= SUBVENCOES E DOACOES PARA INVESTIMENTOSPF9999930</t>
  </si>
  <si>
    <t xml:space="preserve">2.2.3.10  Subvenções a Realizar LP - </t>
  </si>
  <si>
    <t>228912800'= SUBVENCOES E DOACOES PARA INVESTIMENTOS789200</t>
  </si>
  <si>
    <t>2.2.3.2  Subvenções a Realizar LP - CTMSP</t>
  </si>
  <si>
    <t>228912800'= SUBVENCOES E DOACOES PARA INVESTIMENTOSCL0011111</t>
  </si>
  <si>
    <t xml:space="preserve">2.2.3.3  Subvenções a Realizar LP - </t>
  </si>
  <si>
    <t>228912800'= SUBVENCOES E DOACOES PARA INVESTIMENTOSFT1050103</t>
  </si>
  <si>
    <t xml:space="preserve">2.2.3.4  Subvenções a Realizar LP - </t>
  </si>
  <si>
    <t>228912800'= SUBVENCOES E DOACOES PARA INVESTIMENTOSFTMAR2015</t>
  </si>
  <si>
    <t xml:space="preserve">2.2.3.5  Subvenções a Realizar LP - </t>
  </si>
  <si>
    <t>228912800'= SUBVENCOES E DOACOES PARA INVESTIMENTOSIS1241001</t>
  </si>
  <si>
    <t xml:space="preserve">2.2.3.6  Subvenções a Realizar LP - </t>
  </si>
  <si>
    <t>228912800'= SUBVENCOES E DOACOES PARA INVESTIMENTOSPA2019DEZ</t>
  </si>
  <si>
    <t xml:space="preserve">2.2.3.7  Subvenções a Realizar LP - </t>
  </si>
  <si>
    <t>228912800'= SUBVENCOES E DOACOES PARA INVESTIMENTOSPF9999905</t>
  </si>
  <si>
    <t xml:space="preserve">2.2.3.8  Subvenções a Realizar LP - </t>
  </si>
  <si>
    <t>228912800'= SUBVENCOES E DOACOES PARA INVESTIMENTOSPF9999922</t>
  </si>
  <si>
    <t xml:space="preserve">2.2.3.9  Subvenções a Realizar LP - </t>
  </si>
  <si>
    <t>231220100CAPITAL SOCIAL SUBSCRITO - INTRA OFSSSEM INFORMACAO</t>
  </si>
  <si>
    <t>Capital Social</t>
  </si>
  <si>
    <t>2.3.1.1 Patrimônio Líquido - Capital Social</t>
  </si>
  <si>
    <t>231220200* CAPITAL SOCIAL A REALIZAR - INTRA OFSSSEM INFORMACAO</t>
  </si>
  <si>
    <t>232120000ADIANTAMENTO PARA FUTURO AUMENTO DE CAPITALSEM INFORMACAO</t>
  </si>
  <si>
    <t>Adiantamento para Futuro Aumento de Capital</t>
  </si>
  <si>
    <t>2.3.1.2 Patrimônio Líquido - AFAC</t>
  </si>
  <si>
    <t>234110000'= AJUSTES DE AVALIACAO PATRIMONIAL DE ATIVOS999</t>
  </si>
  <si>
    <t>Ajuste de avaliação patrimonial</t>
  </si>
  <si>
    <t>2.3.1.3 Patrimônio Líquido - Ajuste de Avaliação Patrimonial</t>
  </si>
  <si>
    <t>234120000'= AJUSTES DE AVALIACAO PATRIMONIAL DE ATIVOS999</t>
  </si>
  <si>
    <t>236120100'= REAVALIACAO DE BENS IMOVEIS123210298</t>
  </si>
  <si>
    <t>Reserva de reavaliação</t>
  </si>
  <si>
    <t>2.3.1.4 Patrimônio Líquido - Reavaliação de Ativos</t>
  </si>
  <si>
    <t>237220200LUCROS E PREJUIZOS ACUMULADOS DE EXERC ANTERISEM INFORMACAO</t>
  </si>
  <si>
    <t>Prejuízos Acumulados</t>
  </si>
  <si>
    <t>2.3.1.5 Patrimônio Líquido - Resultado Acumulado</t>
  </si>
  <si>
    <t>311210100VENCIMENTOS E SALARIOSSEM INFORMACAO</t>
  </si>
  <si>
    <t>Despesas Administrativas - Pessoal</t>
  </si>
  <si>
    <t>5.1.1.1 Despesas Administrativas - Salários e Remunerações</t>
  </si>
  <si>
    <t>311210300ADICIONAISSEM INFORMACAO</t>
  </si>
  <si>
    <t>311210400GRATIFICACOESSEM INFORMACAO</t>
  </si>
  <si>
    <t>311210500FERIAS - RGPSSEM INFORMACAO</t>
  </si>
  <si>
    <t xml:space="preserve">5.1.1.3 Despesas Administrativas - Férias </t>
  </si>
  <si>
    <t>31121060013. SALARIO - RGPSSEM INFORMACAO</t>
  </si>
  <si>
    <t>5.1.1.4 Despesas Administrativas - 13º Salários</t>
  </si>
  <si>
    <t>311219900OUTROS VENCIM.E VANTAGENS FIXAS E VARIAVEISSEM INFORMACAO</t>
  </si>
  <si>
    <t>312220100CONTRIBUICOES PREVIDENCIARIAS - INSSSEM INFORMACAO</t>
  </si>
  <si>
    <t>Despesas Administrativas - Encargos</t>
  </si>
  <si>
    <t>5.1.1.2 Despesas Administrativas - Encargos</t>
  </si>
  <si>
    <t>312220200CONTRIBUICOES PREVIDENCIARIAS NO EXTERIORSEM INFORMACAO</t>
  </si>
  <si>
    <t>5.1.1.5 Despesas Administrativas - Previdência Complementar</t>
  </si>
  <si>
    <t>312310100FGTSSEM INFORMACAO</t>
  </si>
  <si>
    <t>312410100SESI/SENAI/SESC/SENAC/SEBRAE - ATIVO CIVILSEM INFORMACAO</t>
  </si>
  <si>
    <t>312510100COMPLEMENTACAO DE PREVIDENCIASEM INFORMACAO</t>
  </si>
  <si>
    <t>Despesas Administrativas - Previdência Privada</t>
  </si>
  <si>
    <t>313110100AUXILIO ALIMENTACAOSEM INFORMACAO</t>
  </si>
  <si>
    <t>313210600AUXILIO CRECHESEM INFORMACAO</t>
  </si>
  <si>
    <t>319110100INDENIZACOES E RESTITUICOES TRABALHISTASSEM INFORMACAO</t>
  </si>
  <si>
    <t>Despesas Administrativas - Indenizações e Encargos</t>
  </si>
  <si>
    <t>5.1.1.6 Despesas Administrativas - Indenizações e Restituições Trabalhistas</t>
  </si>
  <si>
    <t>331110100CONSUMO DE MATERIAIS ESTOCADOS - ALMOXARIFADOSEM INFORMACAO</t>
  </si>
  <si>
    <t>Despesas Administrativas - Serviços e Materiais</t>
  </si>
  <si>
    <t>5.1.2.1 Despesas Administrativas - Consumo de Materiais</t>
  </si>
  <si>
    <t>331110300CONSUMO DE COMBUSTIVEIS E LUBRIFICANTESSEM INFORMACAO</t>
  </si>
  <si>
    <t>331110500CONSUMO DE MATERIAL DE PROCESSAMENTO DE DADOSSEM INFORMACAO</t>
  </si>
  <si>
    <t>331110600CONSUMO DE MATERIAL FARMACOLOGICOSEM INFORMACAO</t>
  </si>
  <si>
    <t>331110700CONSUMO DE MATERIAL HOSPITALARSEM INFORMACAO</t>
  </si>
  <si>
    <t>331110800CONSUMO DE MATERIAL PARA PRODUCAO INDUSTRIALSEM INFORMACAO</t>
  </si>
  <si>
    <t>331119900CONSUMO DE OUTROS MATERIAISSEM INFORMACAO</t>
  </si>
  <si>
    <t>332210100SERVICOS TECNICOS PROFISSIONAIS - PFSEM INFORMACAO</t>
  </si>
  <si>
    <t>5.1.2.2 Despesas Administrativas - Serviços</t>
  </si>
  <si>
    <t>332210200SERV. DE APOIO ADM., TECNICO E OPERACIONAL-PFSEM INFORMACAO</t>
  </si>
  <si>
    <t>332210600SERVICOS ASSISTENCIAIS - PFSEM INFORMACAO</t>
  </si>
  <si>
    <t>332211000SENTENCAS JUDICIAIS - SERVICOS TERCEIROS - PFSEM INFORMACAO</t>
  </si>
  <si>
    <t>5.1.4.1 Despesas Administrativas - Sentenças Judiciais</t>
  </si>
  <si>
    <t>332310100SERVICOS TECNICOS PROFISSIONAISSEM INFORMACAO</t>
  </si>
  <si>
    <t>332310200SERVICOS DE APOIO ADM, TECNICO E OPERACIONALSEM INFORMACAO</t>
  </si>
  <si>
    <t>332310300SERVICOS COMUNICACAO, GRAFICO E AUDIOVISUALSEM INFORMACAO</t>
  </si>
  <si>
    <t>332310400SERV.TRANSP.,PASSAGEM,LOCOMOCAO E HOSPED.-PJSEM INFORMACAO</t>
  </si>
  <si>
    <t>332310500SERVICOS ADMINISTRATIVOS - PJSEM INFORMACAO</t>
  </si>
  <si>
    <t>332310600SERVICOS ASSISTENCIAIS - PJSEM INFORMACAO</t>
  </si>
  <si>
    <t>332310700SERVICOS DE CONFECCOES - PJSEM INFORMACAO</t>
  </si>
  <si>
    <t>332310800SERV.AGUA E ESGOTO,ENER.ELETR.,GAS E OUTR.-PJSEM INFORMACAO</t>
  </si>
  <si>
    <t>332310900LOCACAO E ARRENDAMENTO MERCANTIL OPERACIONALSEM INFORMACAO</t>
  </si>
  <si>
    <t>332311000SERVICOS EDUCACIONAIS E CULTURAIS - PJSEM INFORMACAO</t>
  </si>
  <si>
    <t>332311100SENTENCAS JUDICIAIS - SERVICOS TERCEIROS - PJSEM INFORMACAO</t>
  </si>
  <si>
    <t>332311200FORNECIMENTO DE ALIMENTACAOSEM INFORMACAO</t>
  </si>
  <si>
    <t>332311300SEGUROS EM GERALSEM INFORMACAO</t>
  </si>
  <si>
    <t>332311400CONSERVACAO/MANUTENCAO ATIVOS INFRAESTRUTURASEM INFORMACAO</t>
  </si>
  <si>
    <t>332319900SERVICOS PRESTADOS DIVERSOS - PJSEM INFORMACAO</t>
  </si>
  <si>
    <t>332320300SERV.COMUNICAC.,GRAFICOS E AUDIOVIS.-PJ-INTRASEM INFORMACAO</t>
  </si>
  <si>
    <t>333110100DEPRECIACAO DE BENS MOVEISSEM INFORMACAO</t>
  </si>
  <si>
    <t>Despesas Administrativas - Depreciação</t>
  </si>
  <si>
    <t>5.1.3.1 Despesas Administrativas - Depreciação e Amortização</t>
  </si>
  <si>
    <t>333110200DEPRECIACAO DE BENS IMOVEISSEM INFORMACAO</t>
  </si>
  <si>
    <t>333210200AMORTIZACAO DE INTANGIVELSEM INFORMACAO</t>
  </si>
  <si>
    <t>Despesas Administrativas - Amortização</t>
  </si>
  <si>
    <t>342310100JUROS DE MORASEM INFORMACAO</t>
  </si>
  <si>
    <t>5.2.2.1 Resultado Financeiro [Despesas Financeiras] - Encargos</t>
  </si>
  <si>
    <t>342310200MULTAS DEDUTIVEISSEM INFORMACAO</t>
  </si>
  <si>
    <t>5.2.2.3 Resultado Financeiro [Despesas Financeiras] - Multas</t>
  </si>
  <si>
    <t>342310400ENCARGOS DE MORASEM INFORMACAO</t>
  </si>
  <si>
    <t>342410100JUROS DE MORASEM INFORMACAO</t>
  </si>
  <si>
    <t>5.2.2.2 Resultado Financeiro [Despesas Financeiras] - Juros</t>
  </si>
  <si>
    <t>342410200MULTAS DEDUTIVEISSEM INFORMACAO</t>
  </si>
  <si>
    <t>342410300MULTAS INDEDUTIVEISSEM INFORMACAO</t>
  </si>
  <si>
    <t>342410400ENCARGOS DE MORASEM INFORMACAO</t>
  </si>
  <si>
    <t>342420100JUROS DE MORASEM INFORMACAO</t>
  </si>
  <si>
    <t>342420200MULTAS DEDUTIVEISSEM INFORMACAO</t>
  </si>
  <si>
    <t>342450400ENCARGOS DE MORASEM INFORMACAO</t>
  </si>
  <si>
    <t>343910101ENCARGOS FINANCEIROS DEDUTIVEISSEM INFORMACAO</t>
  </si>
  <si>
    <t>351220300MOVIMENTO DE SALDOS PATRIMONIAISSEM INFORMACAO</t>
  </si>
  <si>
    <t>Recursos Orçamentários do Tesouro Nacional</t>
  </si>
  <si>
    <t>351220500MOVIMENTACOES DE VARIACAO PATRIM.DIMINUTIVASEM INFORMACAO</t>
  </si>
  <si>
    <t>5.1.5.3 Despesas Administrativas - Demais Despesas: Outros</t>
  </si>
  <si>
    <t>352410100OUTRAS TRANSFERENCIASSEM INFORMACAO</t>
  </si>
  <si>
    <t>Despesas Administrativas - Demais Despesas</t>
  </si>
  <si>
    <t>363110100PERDAS INVOLUNTARIAS DE BENS MOVEISSEM INFORMACAO</t>
  </si>
  <si>
    <t>5.1.5.1 Despesas Administrativas - Demais Despesas: Perdas</t>
  </si>
  <si>
    <t>364110100INCORPORACAO DE PASSIVOSSEM INFORMACAO</t>
  </si>
  <si>
    <t xml:space="preserve">5.1.5.2 Despesas Administrativas - Demais Despesas: Incorporação e Desincorporação </t>
  </si>
  <si>
    <t>365110100DESINCORPORACAO DE ATIVOSSEM INFORMACAO</t>
  </si>
  <si>
    <t>371110200IMPOSTO S/ PROPRIEDADE PREDIAL E TERRITORIALSEM INFORMACAO</t>
  </si>
  <si>
    <t>(-) Despesas Operacionais Tributárias</t>
  </si>
  <si>
    <t>5.3.1.1 Despesas Tributárias - Impostos</t>
  </si>
  <si>
    <t>371110300IMPOSTO DE RENDASEM INFORMACAO</t>
  </si>
  <si>
    <t>371110500IMPOSTO S/ PROPRIEDADE DE VEICULOS AUTOMOTORESEM INFORMACAO</t>
  </si>
  <si>
    <t>371110900IMPOSTO S/ OPERACOES FINANCEIRASSEM INFORMACAO</t>
  </si>
  <si>
    <t>371119900OUTROS IMPOSTOSSEM INFORMACAO</t>
  </si>
  <si>
    <t>371120300IMPOSTO DE RENDASEM INFORMACAO</t>
  </si>
  <si>
    <t>(-) IR sobre Lucro Líquido</t>
  </si>
  <si>
    <t>7.1.1.1 Imposto e Contribuição S/Lucro: Imposto de Renda</t>
  </si>
  <si>
    <t>371210100TAXASSEM INFORMACAO</t>
  </si>
  <si>
    <t>5.3.1.2 Despesas Tributárias - Taxas</t>
  </si>
  <si>
    <t>371220100TAXASSEM INFORMACAO</t>
  </si>
  <si>
    <t>372110300CONTRIBUICAO SOCIAL S/ LUCRO LIQUIDO - CSLLSEM INFORMACAO</t>
  </si>
  <si>
    <t>372120300CONTRIBUICAO SOCIAL S/ LUCRO LIQUIDO - CSLLSEM INFORMACAO</t>
  </si>
  <si>
    <t>(-) CS sobre Lucro Líquido</t>
  </si>
  <si>
    <t>7.1.1.2 Imposto e Contribuição S/Lucro: CSLL</t>
  </si>
  <si>
    <t>372310100CONTRIBUICAO P/ SERVICO ILUMINACAO PUBLICASEM INFORMACAO</t>
  </si>
  <si>
    <t>5.3.1.3 Despesas Tributárias - Contribuição</t>
  </si>
  <si>
    <t>382110100CUSTO DOS PRODUTOS VENDIDOS - CPVSEM INFORMACAO</t>
  </si>
  <si>
    <t>(-) Custos dos Produtos Vendidos - CPV</t>
  </si>
  <si>
    <t>4.1.1.1 Custos dos Produtos Vendidos</t>
  </si>
  <si>
    <t>397110100VPD DE PROV. P/ RISCOS TRABALHISTASSEM INFORMACAO</t>
  </si>
  <si>
    <t>Despesas Administrativas - Provisões Trabalhistas</t>
  </si>
  <si>
    <t>5.1.6.1 Despesas Administrativas - Provisões Judiciais - Trabalhistas</t>
  </si>
  <si>
    <t>397410100VPD DE PROVISAO P/ RISCOS CIVEISSEM INFORMACAO</t>
  </si>
  <si>
    <t>Despesas Administrativas - Provisões Cíveis</t>
  </si>
  <si>
    <t>5.1.6.2 Despesas Administrativas - Provisões Judiciais - Cíveis</t>
  </si>
  <si>
    <t>399510100MULTAS ADMINISTRATIVASSEM INFORMACAO</t>
  </si>
  <si>
    <t>399610100INDENIZACOESSEM INFORMACAO</t>
  </si>
  <si>
    <t>5.1.7.1 Despesas Administrativas - Indenizações Cíveis</t>
  </si>
  <si>
    <t>399910100VPD DECORRENTE DE FATOS GERADORES DIVERSOSSEM INFORMACAO</t>
  </si>
  <si>
    <t>432110100VENDA BRUTA DE PRODUTOSSEM INFORMACAO</t>
  </si>
  <si>
    <t>Receitas Industriais</t>
  </si>
  <si>
    <t>3.1.1.2 Receita Operacional Bruta - Receita Industrial</t>
  </si>
  <si>
    <t>432910400* IPISEM INFORMACAO</t>
  </si>
  <si>
    <t>(-) Impostos Sobre Vendas de Produtos e Serviços</t>
  </si>
  <si>
    <t>3.1.1.3 (-) Impostos Sobre Vendas de Produtos e Serviços</t>
  </si>
  <si>
    <t>432910600* ICMSSEM INFORMACAO</t>
  </si>
  <si>
    <t>433110100VALOR BRUTO EXPLORACAO BENS, DIR E SERVICOSSEM INFORMACAO</t>
  </si>
  <si>
    <t>433910700* PIS/PASEPSEM INFORMACAO</t>
  </si>
  <si>
    <t>433910900* COFINSSEM INFORMACAO</t>
  </si>
  <si>
    <t>442310100JUROS E ENCAR DE MORA S/ FORNEC.DE BENS/SERV.SEM INFORMACAO</t>
  </si>
  <si>
    <t>5.2.1.1 Resultado Financeiro [Receitas Financeiras] - Juros</t>
  </si>
  <si>
    <t>451120200'= REPASSE RECEBIDO1000000000</t>
  </si>
  <si>
    <t>3.1.1.1 Receita Operacional Bruta - Recursos Orçamentários</t>
  </si>
  <si>
    <t>451120200'= REPASSE RECEBIDO3000000000</t>
  </si>
  <si>
    <t>451220100'= TRANSFERENCIAS RECEBIDAS PARA PGTO DE RP1000000000</t>
  </si>
  <si>
    <t>451220100'= TRANSFERENCIAS RECEBIDAS PARA PGTO DE RP1444000000</t>
  </si>
  <si>
    <t>451220300MOVIMENTACOES DE SALDOS PATRIMONIAISSEM INFORMACAO</t>
  </si>
  <si>
    <t>459110100DOACOES/TRANSFERENCIAS RECEBIDASSEM INFORMACAO</t>
  </si>
  <si>
    <t>463110100GANHOS COM INCORPORACAO DE ATIVOS POR DESCOBESEM INFORMACAO</t>
  </si>
  <si>
    <t>(-) Despesas Administrativas - Demais (Reversões)</t>
  </si>
  <si>
    <t>463910100OUTROS GANHOS COM INCORPORACAO DE ATIVOSEM INFORMACAO</t>
  </si>
  <si>
    <t>464110100GANHOS COM DESINCORPORACAO DE PASSIVOSSEM INFORMACAO</t>
  </si>
  <si>
    <t xml:space="preserve">6.1.5.2 Outras Receitas por Incorporação e Desincorporação </t>
  </si>
  <si>
    <t>497110100REVERSAO DE PROV P/ RISCOS TRABALHISTASSEM INFORMACAO</t>
  </si>
  <si>
    <t>497210100REVERSAO DE AJUSTES DE PERDASSEM INFORMACAO</t>
  </si>
  <si>
    <t>499610200RESTITUICOESSEM INFORMACAO</t>
  </si>
  <si>
    <t>499910100VPA DECORRENTE DE FATORES GERADORES DIVERSOSSEM INFORMACAO</t>
  </si>
  <si>
    <t>Descrição da Conta</t>
  </si>
  <si>
    <t>CONCATENAR</t>
  </si>
  <si>
    <t>111110100'= CAIXA015011320800000000000191</t>
  </si>
  <si>
    <t>111122001'= LIMITE DE SAQUE COM VINCULACAO DE PGTO - OFSS0100000000130</t>
  </si>
  <si>
    <t>111122001'= LIMITE DE SAQUE COM VINCULACAO DE PGTO - OFSS0100000000307</t>
  </si>
  <si>
    <t>111122001'= LIMITE DE SAQUE COM VINCULACAO DE PGTO - OFSS0100000000308</t>
  </si>
  <si>
    <t>111122001'= LIMITE DE SAQUE COM VINCULACAO DE PGTO - OFSS0100000000310</t>
  </si>
  <si>
    <t>111122001'= LIMITE DE SAQUE COM VINCULACAO DE PGTO - OFSS0100000000340</t>
  </si>
  <si>
    <t>111122001'= LIMITE DE SAQUE COM VINCULACAO DE PGTO - OFSS0100000000400</t>
  </si>
  <si>
    <t>111122001'= LIMITE DE SAQUE COM VINCULACAO DE PGTO - OFSS0100000000510</t>
  </si>
  <si>
    <t>111122001'= LIMITE DE SAQUE COM VINCULACAO DE PGTO - OFSS0144000000400</t>
  </si>
  <si>
    <t>111122001'= LIMITE DE SAQUE COM VINCULACAO DE PGTO - OFSS0150113208400</t>
  </si>
  <si>
    <t>111122001'= LIMITE DE SAQUE COM VINCULACAO DE PGTO - OFSS0150113208500</t>
  </si>
  <si>
    <t>111122001'= LIMITE DE SAQUE COM VINCULACAO DE PGTO - OFSS0151000000510</t>
  </si>
  <si>
    <t>111122001'= LIMITE DE SAQUE COM VINCULACAO DE PGTO - OFSS0188000000400</t>
  </si>
  <si>
    <t>111122001'= LIMITE DE SAQUE COM VINCULACAO DE PGTO - OFSS0188000000510</t>
  </si>
  <si>
    <t>111122001'= LIMITE DE SAQUE COM VINCULACAO DE PGTO - OFSS0190000000987</t>
  </si>
  <si>
    <t>111122001'= LIMITE DE SAQUE COM VINCULACAO DE PGTO - OFSS0190000000990</t>
  </si>
  <si>
    <t>111122001'= LIMITE DE SAQUE COM VINCULACAO DE PGTO - OFSS0190980000990</t>
  </si>
  <si>
    <t>111122001'= LIMITE DE SAQUE COM VINCULACAO DE PGTO - OFSS0250113208400</t>
  </si>
  <si>
    <t>111122001'= LIMITE DE SAQUE COM VINCULACAO DE PGTO - OFSS0300000000400</t>
  </si>
  <si>
    <t>111122001'= LIMITE DE SAQUE COM VINCULACAO DE PGTO - OFSS0650113208400</t>
  </si>
  <si>
    <t>111122003'= LIM DE SAQUE C/VINC.PAGTO- ORDEM PAGTO - OFSS0100000000130</t>
  </si>
  <si>
    <t>111122003'= LIM DE SAQUE C/VINC.PAGTO- ORDEM PAGTO - OFSS0100000000307</t>
  </si>
  <si>
    <t>111122003'= LIM DE SAQUE C/VINC.PAGTO- ORDEM PAGTO - OFSS0100000000308</t>
  </si>
  <si>
    <t>111122003'= LIM DE SAQUE C/VINC.PAGTO- ORDEM PAGTO - OFSS0100000000310</t>
  </si>
  <si>
    <t>111122003'= LIM DE SAQUE C/VINC.PAGTO- ORDEM PAGTO - OFSS0100000000340</t>
  </si>
  <si>
    <t>111122003'= LIM DE SAQUE C/VINC.PAGTO- ORDEM PAGTO - OFSS0100000000400</t>
  </si>
  <si>
    <t>111122003'= LIM DE SAQUE C/VINC.PAGTO- ORDEM PAGTO - OFSS0100000000510</t>
  </si>
  <si>
    <t>111122003'= LIM DE SAQUE C/VINC.PAGTO- ORDEM PAGTO - OFSS0150113208400</t>
  </si>
  <si>
    <t>111122003'= LIM DE SAQUE C/VINC.PAGTO- ORDEM PAGTO - OFSS0150113208500</t>
  </si>
  <si>
    <t>111122003'= LIM DE SAQUE C/VINC.PAGTO- ORDEM PAGTO - OFSS0151000000510</t>
  </si>
  <si>
    <t>111122003'= LIM DE SAQUE C/VINC.PAGTO- ORDEM PAGTO - OFSS0188000000307</t>
  </si>
  <si>
    <t>111122003'= LIM DE SAQUE C/VINC.PAGTO- ORDEM PAGTO - OFSS0188000000308</t>
  </si>
  <si>
    <t>111122003'= LIM DE SAQUE C/VINC.PAGTO- ORDEM PAGTO - OFSS0188000000310</t>
  </si>
  <si>
    <t>111122003'= LIM DE SAQUE C/VINC.PAGTO- ORDEM PAGTO - OFSS0188000000510</t>
  </si>
  <si>
    <t>111122003'= LIM DE SAQUE C/VINC.PAGTO- ORDEM PAGTO - OFSS0190000000990</t>
  </si>
  <si>
    <t>111122003'= LIM DE SAQUE C/VINC.PAGTO- ORDEM PAGTO - OFSS0250113208400</t>
  </si>
  <si>
    <t>111122003'= LIM DE SAQUE C/VINC.PAGTO- ORDEM PAGTO - OFSS0300000000400</t>
  </si>
  <si>
    <t>111122003'= LIM DE SAQUE C/VINC.PAGTO- ORDEM PAGTO - OFSS0650113208400</t>
  </si>
  <si>
    <t>111122005'= LIM DE SAQUE C/VINC.PAGTO-PAGTO INST - OFSS0100000000307</t>
  </si>
  <si>
    <t>111122005'= LIM DE SAQUE C/VINC.PAGTO-PAGTO INST - OFSS0100000000400</t>
  </si>
  <si>
    <t>111122005'= LIM DE SAQUE C/VINC.PAGTO-PAGTO INST - OFSS0100000000510</t>
  </si>
  <si>
    <t>111122005'= LIM DE SAQUE C/VINC.PAGTO-PAGTO INST - OFSS0150113208400</t>
  </si>
  <si>
    <t>111122005'= LIM DE SAQUE C/VINC.PAGTO-PAGTO INST - OFSS0188000000510</t>
  </si>
  <si>
    <t>111122006'= LIM DE SAQUE C/VINC.PAGTO- OP/PI - OFSS0100000000307</t>
  </si>
  <si>
    <t>111122006'= LIM DE SAQUE C/VINC.PAGTO- OP/PI - OFSS0100000000400</t>
  </si>
  <si>
    <t>111122006'= LIM DE SAQUE C/VINC.PAGTO- OP/PI - OFSS0100000000510</t>
  </si>
  <si>
    <t>111122006'= LIM DE SAQUE C/VINC.PAGTO- OP/PI - OFSS0150113208400</t>
  </si>
  <si>
    <t>111122006'= LIM DE SAQUE C/VINC.PAGTO- OP/PI - OFSS0188000000510</t>
  </si>
  <si>
    <t>112210103'= FATURAS/DUPL A REC - ESTOQUES PROPRIOS10853995000197</t>
  </si>
  <si>
    <t>112210103'= FATURAS/DUPL A REC - ESTOQUES PROPRIOS22580716000148</t>
  </si>
  <si>
    <t>112210103'= FATURAS/DUPL A REC - ESTOQUES PROPRIOS23828710000100</t>
  </si>
  <si>
    <t>112210103'= FATURAS/DUPL A REC - ESTOQUES PROPRIOS33220880000160</t>
  </si>
  <si>
    <t>112210103'= FATURAS/DUPL A REC - ESTOQUES PROPRIOS789200</t>
  </si>
  <si>
    <t>112210106'= FATURAS/DUPL A REC - PRESTACAO DE SERVICOS03061794000272</t>
  </si>
  <si>
    <t>113110103'= VIAGENS - ADIANTAMENTO00507557735</t>
  </si>
  <si>
    <t>113110103'= VIAGENS - ADIANTAMENTO03869323795</t>
  </si>
  <si>
    <t>113110103'= VIAGENS - ADIANTAMENTO05183047871</t>
  </si>
  <si>
    <t>113110103'= VIAGENS - ADIANTAMENTO07052571773</t>
  </si>
  <si>
    <t>113110103'= VIAGENS - ADIANTAMENTO09241616717</t>
  </si>
  <si>
    <t>113110103'= VIAGENS - ADIANTAMENTO10761818723</t>
  </si>
  <si>
    <t>113110103'= VIAGENS - ADIANTAMENTO10986852708</t>
  </si>
  <si>
    <t>113110103'= VIAGENS - ADIANTAMENTO11061044718</t>
  </si>
  <si>
    <t>113110103'= VIAGENS - ADIANTAMENTO11100014799</t>
  </si>
  <si>
    <t>113110103'= VIAGENS - ADIANTAMENTO11257316729</t>
  </si>
  <si>
    <t>113110103'= VIAGENS - ADIANTAMENTO12909760740</t>
  </si>
  <si>
    <t>113110103'= VIAGENS - ADIANTAMENTO13555381733</t>
  </si>
  <si>
    <t>113110103'= VIAGENS - ADIANTAMENTO49188518787</t>
  </si>
  <si>
    <t>113110103'= VIAGENS - ADIANTAMENTO91137918772</t>
  </si>
  <si>
    <t>113110500'= ADIANTAMENTO A PRESTADORES DE SERVICOS05119453000155</t>
  </si>
  <si>
    <t>113110900'= ADIANTAMENTOS A FORNECEDORES10259179000150</t>
  </si>
  <si>
    <t>113210100'= IPI A RECUPERAR/COMPENSAR0150113208</t>
  </si>
  <si>
    <t>113210100'= IPI A RECUPERAR/COMPENSAR0250113208</t>
  </si>
  <si>
    <t>113210200'= ICMS A RECUPERAR / COMPENSAR0150113208</t>
  </si>
  <si>
    <t>113210200'= ICMS A RECUPERAR / COMPENSAR0250113208</t>
  </si>
  <si>
    <t>113210400'= IRRF A COMPENSAR0150113208</t>
  </si>
  <si>
    <t>113210400'= IRRF A COMPENSAR0250113208</t>
  </si>
  <si>
    <t>113210500'= IR E CSLL A RECUPERAR/COMPENSAR0150113208</t>
  </si>
  <si>
    <t>113210500'= IR E CSLL A RECUPERAR/COMPENSAR0250113208</t>
  </si>
  <si>
    <t>113211300'= COFINS A RECUPERAR / COMPENSAR0150113208</t>
  </si>
  <si>
    <t>113211300'= COFINS A RECUPERAR / COMPENSAR0250113208</t>
  </si>
  <si>
    <t>113211400'= PIS/PASEP A RECUPERAR/COMPENSAR0150113208</t>
  </si>
  <si>
    <t>113211400'= PIS/PASEP A RECUPERAR/COMPENSAR0250113208</t>
  </si>
  <si>
    <t>113221300'= COFINS A RECUPERAR / COMPENSAR - INTRA0150113208</t>
  </si>
  <si>
    <t>115210100'= PRODUTOS ACABADOSDT0000102</t>
  </si>
  <si>
    <t>115210100'= PRODUTOS ACABADOSDT0000103</t>
  </si>
  <si>
    <t>115210100'= PRODUTOS ACABADOSDT0000104</t>
  </si>
  <si>
    <t>115210100'= PRODUTOS ACABADOSDT0000105</t>
  </si>
  <si>
    <t>115310100'= PRODUTOS EM ELABORACAODT0000102</t>
  </si>
  <si>
    <t>115310100'= PRODUTOS EM ELABORACAODT0000103</t>
  </si>
  <si>
    <t>115310100'= PRODUTOS EM ELABORACAODT0000104</t>
  </si>
  <si>
    <t>115310100'= PRODUTOS EM ELABORACAODT0000105</t>
  </si>
  <si>
    <t>115310100'= PRODUTOS EM ELABORACAOIC2022008</t>
  </si>
  <si>
    <t>115310100'= PRODUTOS EM ELABORACAOIC2022009</t>
  </si>
  <si>
    <t>115610100'= MATERIAIS DE CONSUMO01</t>
  </si>
  <si>
    <t>115610100'= MATERIAIS DE CONSUMO05</t>
  </si>
  <si>
    <t>115610100'= MATERIAIS DE CONSUMO06</t>
  </si>
  <si>
    <t>115610100'= MATERIAIS DE CONSUMO12</t>
  </si>
  <si>
    <t>115610100'= MATERIAIS DE CONSUMO15</t>
  </si>
  <si>
    <t>115610100'= MATERIAIS DE CONSUMO30</t>
  </si>
  <si>
    <t>115610100'= MATERIAIS DE CONSUMO45</t>
  </si>
  <si>
    <t>115610100'= MATERIAIS DE CONSUMO49</t>
  </si>
  <si>
    <t>115610100'= MATERIAIS DE CONSUMO50</t>
  </si>
  <si>
    <t>115610100'= MATERIAIS DE CONSUMO55</t>
  </si>
  <si>
    <t>115610100'= MATERIAIS DE CONSUMO62</t>
  </si>
  <si>
    <t>115610100'= MATERIAIS DE CONSUMO63</t>
  </si>
  <si>
    <t>115610100'= MATERIAIS DE CONSUMO82</t>
  </si>
  <si>
    <t>123110701'= BENS MOVEIS EM ELABORACAO02565617000180</t>
  </si>
  <si>
    <t>123110701'= BENS MOVEIS EM ELABORACAO10618016000116</t>
  </si>
  <si>
    <t>123110701'= BENS MOVEIS EM ELABORACAO11488758000137</t>
  </si>
  <si>
    <t>123110701'= BENS MOVEIS EM ELABORACAO32683520000132</t>
  </si>
  <si>
    <t>123110701'= BENS MOVEIS EM ELABORACAO59704510000192</t>
  </si>
  <si>
    <t>123119905BENS MOVEIS EM TRANSITOSEM INFORMACAO</t>
  </si>
  <si>
    <t>123210202'= EDIFICIOS999</t>
  </si>
  <si>
    <t>123210202'= EDIFICIOSIM19CS143</t>
  </si>
  <si>
    <t>123210508'= PORTOS E ESTALEIROSIM2011001</t>
  </si>
  <si>
    <t>123219905'= BENS IMOVEIS A CLASSIFICAR/ A REGISTRAR999</t>
  </si>
  <si>
    <t>123219905'= BENS IMOVEIS A CLASSIFICAR/ A REGISTRARIM2011001</t>
  </si>
  <si>
    <t>123810100* = DEPRECIACAO ACUMULADA - BENS MOVEIS123110403</t>
  </si>
  <si>
    <t>123910100* = REDUCAO AO VALOR RECUP DE IMOBILIZADO-MOVEIS123110105</t>
  </si>
  <si>
    <t>123910100* = REDUCAO AO VALOR RECUP DE IMOBILIZADO-MOVEIS123110125</t>
  </si>
  <si>
    <t>123910200* = REDUCAO AO VALOR RECUP DE IMOBILIZADO-IMOVEIS123210202</t>
  </si>
  <si>
    <t>124110101'= SOFTWARESIS20CS028</t>
  </si>
  <si>
    <t>124110203IMPORTACOES EM ANDAMENTOSEM INFORMACAO</t>
  </si>
  <si>
    <t>211110101'= SALARIOS, REMUNERACOES E BENEFICIOS0100000000</t>
  </si>
  <si>
    <t>211110101'= SALARIOS, REMUNERACOES E BENEFICIOS0150113208</t>
  </si>
  <si>
    <t>211110101'= SALARIOS, REMUNERACOES E BENEFICIOS0188000000</t>
  </si>
  <si>
    <t>211410101'= INSS-CONTRIBUICAO S/ SALARIOS E REMUNERACOES1000000000510001</t>
  </si>
  <si>
    <t>211410301'= CONTRIBUICAO A ENTIDADES DE PREVIDEN. PRIVADA010000000030022727000130</t>
  </si>
  <si>
    <t>211410301'= CONTRIBUICAO A ENTIDADES DE PREVIDEN. PRIVADA0100000000PF9999906</t>
  </si>
  <si>
    <t>211410301'= CONTRIBUICAO A ENTIDADES DE PREVIDEN. PRIVADA018800000030022727000130</t>
  </si>
  <si>
    <t>211410600'= FGTS0100000000PF9999906</t>
  </si>
  <si>
    <t>211410600'= FGTS0188000000PF9999906</t>
  </si>
  <si>
    <t>211411200'= ENCARGOS SOCIAIS - CONVENIO DE ARRECAD DIRETA0100000000</t>
  </si>
  <si>
    <t>211411200'= ENCARGOS SOCIAIS - CONVENIO DE ARRECAD DIRETA0188000000</t>
  </si>
  <si>
    <t>211420101'= INSS-CONTRIB.S/SALARIOS E REMUNERACOES -INTRA0100000000</t>
  </si>
  <si>
    <t>213110100'= FORNECEDORES NACIONAIS010000000002768278000139</t>
  </si>
  <si>
    <t>213110100'= FORNECEDORES NACIONAIS010000000059704510000192</t>
  </si>
  <si>
    <t>213110100'= FORNECEDORES NACIONAIS010000000069113322000143</t>
  </si>
  <si>
    <t>213110100'= FORNECEDORES NACIONAIS0151000000PF9999901</t>
  </si>
  <si>
    <t>213110400'= CONTAS A PAGAR CREDORES NACIONAIS00000000000191</t>
  </si>
  <si>
    <t>213110400'= CONTAS A PAGAR CREDORES NACIONAIS00277106000137</t>
  </si>
  <si>
    <t>213110400'= CONTAS A PAGAR CREDORES NACIONAIS00331788000623</t>
  </si>
  <si>
    <t>213110400'= CONTAS A PAGAR CREDORES NACIONAIS00908234000131</t>
  </si>
  <si>
    <t>213110400'= CONTAS A PAGAR CREDORES NACIONAIS010000000000000000000191</t>
  </si>
  <si>
    <t>213110400'= CONTAS A PAGAR CREDORES NACIONAIS010000000000171128000118</t>
  </si>
  <si>
    <t>213110400'= CONTAS A PAGAR CREDORES NACIONAIS010000000000331788000623</t>
  </si>
  <si>
    <t>213110400'= CONTAS A PAGAR CREDORES NACIONAIS010000000000423759000187</t>
  </si>
  <si>
    <t>213110400'= CONTAS A PAGAR CREDORES NACIONAIS010000000000450326000110</t>
  </si>
  <si>
    <t>213110400'= CONTAS A PAGAR CREDORES NACIONAIS010000000000565813000129</t>
  </si>
  <si>
    <t>213110400'= CONTAS A PAGAR CREDORES NACIONAIS010000000000568594000808</t>
  </si>
  <si>
    <t>213110400'= CONTAS A PAGAR CREDORES NACIONAIS010000000000604122000197</t>
  </si>
  <si>
    <t>213110400'= CONTAS A PAGAR CREDORES NACIONAIS010000000000710985000149</t>
  </si>
  <si>
    <t>213110400'= CONTAS A PAGAR CREDORES NACIONAIS010000000000714403000100</t>
  </si>
  <si>
    <t>213110400'= CONTAS A PAGAR CREDORES NACIONAIS010000000000740696000192</t>
  </si>
  <si>
    <t>213110400'= CONTAS A PAGAR CREDORES NACIONAIS010000000000908234000131</t>
  </si>
  <si>
    <t>213110400'= CONTAS A PAGAR CREDORES NACIONAIS010000000001004749000170</t>
  </si>
  <si>
    <t>213110400'= CONTAS A PAGAR CREDORES NACIONAIS010000000001082331000180</t>
  </si>
  <si>
    <t>213110400'= CONTAS A PAGAR CREDORES NACIONAIS010000000001117975000167</t>
  </si>
  <si>
    <t>213110400'= CONTAS A PAGAR CREDORES NACIONAIS010000000001128902000251</t>
  </si>
  <si>
    <t>213110400'= CONTAS A PAGAR CREDORES NACIONAIS010000000001209604000105</t>
  </si>
  <si>
    <t>213110400'= CONTAS A PAGAR CREDORES NACIONAIS010000000001236739000160</t>
  </si>
  <si>
    <t>213110400'= CONTAS A PAGAR CREDORES NACIONAIS010000000001264420000148</t>
  </si>
  <si>
    <t>213110400'= CONTAS A PAGAR CREDORES NACIONAIS010000000001308567000192</t>
  </si>
  <si>
    <t>213110400'= CONTAS A PAGAR CREDORES NACIONAIS010000000001426453000147</t>
  </si>
  <si>
    <t>213110400'= CONTAS A PAGAR CREDORES NACIONAIS010000000001468827000197</t>
  </si>
  <si>
    <t>213110400'= CONTAS A PAGAR CREDORES NACIONAIS010000000001505499000151</t>
  </si>
  <si>
    <t>213110400'= CONTAS A PAGAR CREDORES NACIONAIS010000000001554285000175</t>
  </si>
  <si>
    <t>213110400'= CONTAS A PAGAR CREDORES NACIONAIS010000000001597589000209</t>
  </si>
  <si>
    <t>213110400'= CONTAS A PAGAR CREDORES NACIONAIS010000000001597589000977</t>
  </si>
  <si>
    <t>213110400'= CONTAS A PAGAR CREDORES NACIONAIS010000000001762710000111</t>
  </si>
  <si>
    <t>213110400'= CONTAS A PAGAR CREDORES NACIONAIS010000000001797423000147</t>
  </si>
  <si>
    <t>213110400'= CONTAS A PAGAR CREDORES NACIONAIS010000000001808942000163</t>
  </si>
  <si>
    <t>213110400'= CONTAS A PAGAR CREDORES NACIONAIS010000000001815999000190</t>
  </si>
  <si>
    <t>213110400'= CONTAS A PAGAR CREDORES NACIONAIS010000000001862837000102</t>
  </si>
  <si>
    <t>213110400'= CONTAS A PAGAR CREDORES NACIONAIS010000000001910542000164</t>
  </si>
  <si>
    <t>213110400'= CONTAS A PAGAR CREDORES NACIONAIS010000000001914765000108</t>
  </si>
  <si>
    <t>213110400'= CONTAS A PAGAR CREDORES NACIONAIS010000000001975274000169</t>
  </si>
  <si>
    <t>213110400'= CONTAS A PAGAR CREDORES NACIONAIS010000000001983318000100</t>
  </si>
  <si>
    <t>213110400'= CONTAS A PAGAR CREDORES NACIONAIS010000000002016558000190</t>
  </si>
  <si>
    <t>213110400'= CONTAS A PAGAR CREDORES NACIONAIS010000000002149434000183</t>
  </si>
  <si>
    <t>213110400'= CONTAS A PAGAR CREDORES NACIONAIS010000000002250366000144</t>
  </si>
  <si>
    <t>213110400'= CONTAS A PAGAR CREDORES NACIONAIS010000000002288055000174</t>
  </si>
  <si>
    <t>213110400'= CONTAS A PAGAR CREDORES NACIONAIS010000000002309765000133</t>
  </si>
  <si>
    <t>213110400'= CONTAS A PAGAR CREDORES NACIONAIS010000000002409411000160</t>
  </si>
  <si>
    <t>213110400'= CONTAS A PAGAR CREDORES NACIONAIS010000000002421421000111</t>
  </si>
  <si>
    <t>213110400'= CONTAS A PAGAR CREDORES NACIONAIS010000000002444415000180</t>
  </si>
  <si>
    <t>213110400'= CONTAS A PAGAR CREDORES NACIONAIS010000000002623638000104</t>
  </si>
  <si>
    <t>213110400'= CONTAS A PAGAR CREDORES NACIONAIS010000000002768278000139</t>
  </si>
  <si>
    <t>213110400'= CONTAS A PAGAR CREDORES NACIONAIS010000000002794346000134</t>
  </si>
  <si>
    <t>213110400'= CONTAS A PAGAR CREDORES NACIONAIS010000000002887124000247</t>
  </si>
  <si>
    <t>213110400'= CONTAS A PAGAR CREDORES NACIONAIS010000000002935467000159</t>
  </si>
  <si>
    <t>213110400'= CONTAS A PAGAR CREDORES NACIONAIS010000000002960791000127</t>
  </si>
  <si>
    <t>213110400'= CONTAS A PAGAR CREDORES NACIONAIS010000000003020839000180</t>
  </si>
  <si>
    <t>213110400'= CONTAS A PAGAR CREDORES NACIONAIS010000000003117534000190</t>
  </si>
  <si>
    <t>213110400'= CONTAS A PAGAR CREDORES NACIONAIS010000000003139023000170</t>
  </si>
  <si>
    <t>213110400'= CONTAS A PAGAR CREDORES NACIONAIS010000000003206164000168</t>
  </si>
  <si>
    <t>213110400'= CONTAS A PAGAR CREDORES NACIONAIS010000000003259216000164</t>
  </si>
  <si>
    <t>213110400'= CONTAS A PAGAR CREDORES NACIONAIS010000000003276273000151</t>
  </si>
  <si>
    <t>213110400'= CONTAS A PAGAR CREDORES NACIONAIS010000000003279285000130</t>
  </si>
  <si>
    <t>213110400'= CONTAS A PAGAR CREDORES NACIONAIS010000000003299763000173</t>
  </si>
  <si>
    <t>213110400'= CONTAS A PAGAR CREDORES NACIONAIS010000000003452360000112</t>
  </si>
  <si>
    <t>213110400'= CONTAS A PAGAR CREDORES NACIONAIS010000000003461065000122</t>
  </si>
  <si>
    <t>213110400'= CONTAS A PAGAR CREDORES NACIONAIS010000000003461165000159</t>
  </si>
  <si>
    <t>213110400'= CONTAS A PAGAR CREDORES NACIONAIS010000000003525408000175</t>
  </si>
  <si>
    <t>213110400'= CONTAS A PAGAR CREDORES NACIONAIS010000000003552392000190</t>
  </si>
  <si>
    <t>213110400'= CONTAS A PAGAR CREDORES NACIONAIS010000000003662454000116</t>
  </si>
  <si>
    <t>213110400'= CONTAS A PAGAR CREDORES NACIONAIS010000000003750757000190</t>
  </si>
  <si>
    <t>213110400'= CONTAS A PAGAR CREDORES NACIONAIS010000000003832293000161</t>
  </si>
  <si>
    <t>213110400'= CONTAS A PAGAR CREDORES NACIONAIS010000000003848688003259</t>
  </si>
  <si>
    <t>213110400'= CONTAS A PAGAR CREDORES NACIONAIS010000000003851171000112</t>
  </si>
  <si>
    <t>213110400'= CONTAS A PAGAR CREDORES NACIONAIS010000000004012619000177</t>
  </si>
  <si>
    <t>213110400'= CONTAS A PAGAR CREDORES NACIONAIS010000000004100795000160</t>
  </si>
  <si>
    <t>213110400'= CONTAS A PAGAR CREDORES NACIONAIS010000000004139412000168</t>
  </si>
  <si>
    <t>213110400'= CONTAS A PAGAR CREDORES NACIONAIS010000000004298309000756</t>
  </si>
  <si>
    <t>213110400'= CONTAS A PAGAR CREDORES NACIONAIS010000000004323643000127</t>
  </si>
  <si>
    <t>213110400'= CONTAS A PAGAR CREDORES NACIONAIS010000000004330905000180</t>
  </si>
  <si>
    <t>213110400'= CONTAS A PAGAR CREDORES NACIONAIS010000000004355884000158</t>
  </si>
  <si>
    <t>213110400'= CONTAS A PAGAR CREDORES NACIONAIS010000000004444171000241</t>
  </si>
  <si>
    <t>213110400'= CONTAS A PAGAR CREDORES NACIONAIS010000000004523508000125</t>
  </si>
  <si>
    <t>213110400'= CONTAS A PAGAR CREDORES NACIONAIS010000000004537341000151</t>
  </si>
  <si>
    <t>213110400'= CONTAS A PAGAR CREDORES NACIONAIS010000000004565030000104</t>
  </si>
  <si>
    <t>213110400'= CONTAS A PAGAR CREDORES NACIONAIS010000000004646573000148</t>
  </si>
  <si>
    <t>213110400'= CONTAS A PAGAR CREDORES NACIONAIS010000000004674306000184</t>
  </si>
  <si>
    <t>213110400'= CONTAS A PAGAR CREDORES NACIONAIS010000000004740519000167</t>
  </si>
  <si>
    <t>213110400'= CONTAS A PAGAR CREDORES NACIONAIS010000000004931019000102</t>
  </si>
  <si>
    <t>213110400'= CONTAS A PAGAR CREDORES NACIONAIS010000000004931019000293</t>
  </si>
  <si>
    <t>213110400'= CONTAS A PAGAR CREDORES NACIONAIS010000000005152318000101</t>
  </si>
  <si>
    <t>213110400'= CONTAS A PAGAR CREDORES NACIONAIS010000000005234289000127</t>
  </si>
  <si>
    <t>213110400'= CONTAS A PAGAR CREDORES NACIONAIS010000000005250796000154</t>
  </si>
  <si>
    <t>213110400'= CONTAS A PAGAR CREDORES NACIONAIS010000000005279044000116</t>
  </si>
  <si>
    <t>213110400'= CONTAS A PAGAR CREDORES NACIONAIS010000000005284514000130</t>
  </si>
  <si>
    <t>213110400'= CONTAS A PAGAR CREDORES NACIONAIS010000000005291541000130</t>
  </si>
  <si>
    <t>213110400'= CONTAS A PAGAR CREDORES NACIONAIS010000000005340639000130</t>
  </si>
  <si>
    <t>213110400'= CONTAS A PAGAR CREDORES NACIONAIS010000000005344234000170</t>
  </si>
  <si>
    <t>213110400'= CONTAS A PAGAR CREDORES NACIONAIS010000000005356705000160</t>
  </si>
  <si>
    <t>213110400'= CONTAS A PAGAR CREDORES NACIONAIS010000000005370858000161</t>
  </si>
  <si>
    <t>213110400'= CONTAS A PAGAR CREDORES NACIONAIS010000000005538148000106</t>
  </si>
  <si>
    <t>213110400'= CONTAS A PAGAR CREDORES NACIONAIS010000000005596488000185</t>
  </si>
  <si>
    <t>213110400'= CONTAS A PAGAR CREDORES NACIONAIS010000000005609142000174</t>
  </si>
  <si>
    <t>213110400'= CONTAS A PAGAR CREDORES NACIONAIS010000000005609142000255</t>
  </si>
  <si>
    <t>213110400'= CONTAS A PAGAR CREDORES NACIONAIS010000000005697209000170</t>
  </si>
  <si>
    <t>213110400'= CONTAS A PAGAR CREDORES NACIONAIS010000000005700417000180</t>
  </si>
  <si>
    <t>213110400'= CONTAS A PAGAR CREDORES NACIONAIS010000000005799916000177</t>
  </si>
  <si>
    <t>213110400'= CONTAS A PAGAR CREDORES NACIONAIS010000000005843415000140</t>
  </si>
  <si>
    <t>213110400'= CONTAS A PAGAR CREDORES NACIONAIS010000000005885457000144</t>
  </si>
  <si>
    <t>213110400'= CONTAS A PAGAR CREDORES NACIONAIS010000000005922553000115</t>
  </si>
  <si>
    <t>213110400'= CONTAS A PAGAR CREDORES NACIONAIS010000000005946489000102</t>
  </si>
  <si>
    <t>213110400'= CONTAS A PAGAR CREDORES NACIONAIS010000000006045031000145</t>
  </si>
  <si>
    <t>213110400'= CONTAS A PAGAR CREDORES NACIONAIS010000000006132270000132</t>
  </si>
  <si>
    <t>213110400'= CONTAS A PAGAR CREDORES NACIONAIS010000000006140510000140</t>
  </si>
  <si>
    <t>213110400'= CONTAS A PAGAR CREDORES NACIONAIS010000000006200724000165</t>
  </si>
  <si>
    <t>213110400'= CONTAS A PAGAR CREDORES NACIONAIS010000000006246289000100</t>
  </si>
  <si>
    <t>213110400'= CONTAS A PAGAR CREDORES NACIONAIS010000000006250329000197</t>
  </si>
  <si>
    <t>213110400'= CONTAS A PAGAR CREDORES NACIONAIS010000000006263012000195</t>
  </si>
  <si>
    <t>213110400'= CONTAS A PAGAR CREDORES NACIONAIS010000000006307463000187</t>
  </si>
  <si>
    <t>213110400'= CONTAS A PAGAR CREDORES NACIONAIS010000000006350648000174</t>
  </si>
  <si>
    <t>213110400'= CONTAS A PAGAR CREDORES NACIONAIS010000000006913480000320</t>
  </si>
  <si>
    <t>213110400'= CONTAS A PAGAR CREDORES NACIONAIS010000000006913480002616</t>
  </si>
  <si>
    <t>213110400'= CONTAS A PAGAR CREDORES NACIONAIS010000000007067496000402</t>
  </si>
  <si>
    <t>213110400'= CONTAS A PAGAR CREDORES NACIONAIS010000000007123374000143</t>
  </si>
  <si>
    <t>213110400'= CONTAS A PAGAR CREDORES NACIONAIS010000000007128158000190</t>
  </si>
  <si>
    <t>213110400'= CONTAS A PAGAR CREDORES NACIONAIS010000000007209817000113</t>
  </si>
  <si>
    <t>213110400'= CONTAS A PAGAR CREDORES NACIONAIS010000000007230076000152</t>
  </si>
  <si>
    <t>213110400'= CONTAS A PAGAR CREDORES NACIONAIS010000000007244182000195</t>
  </si>
  <si>
    <t>213110400'= CONTAS A PAGAR CREDORES NACIONAIS010000000007277226000183</t>
  </si>
  <si>
    <t>213110400'= CONTAS A PAGAR CREDORES NACIONAIS010000000007358761000169</t>
  </si>
  <si>
    <t>213110400'= CONTAS A PAGAR CREDORES NACIONAIS010000000007358761001645</t>
  </si>
  <si>
    <t>213110400'= CONTAS A PAGAR CREDORES NACIONAIS010000000007363973000134</t>
  </si>
  <si>
    <t>213110400'= CONTAS A PAGAR CREDORES NACIONAIS010000000007387413000110</t>
  </si>
  <si>
    <t>213110400'= CONTAS A PAGAR CREDORES NACIONAIS010000000007411076000159</t>
  </si>
  <si>
    <t>213110400'= CONTAS A PAGAR CREDORES NACIONAIS010000000007465373000187</t>
  </si>
  <si>
    <t>213110400'= CONTAS A PAGAR CREDORES NACIONAIS010000000007547163000138</t>
  </si>
  <si>
    <t>213110400'= CONTAS A PAGAR CREDORES NACIONAIS010000000007586637000150</t>
  </si>
  <si>
    <t>213110400'= CONTAS A PAGAR CREDORES NACIONAIS010000000007710046000143</t>
  </si>
  <si>
    <t>213110400'= CONTAS A PAGAR CREDORES NACIONAIS010000000007731801000176</t>
  </si>
  <si>
    <t>213110400'= CONTAS A PAGAR CREDORES NACIONAIS010000000007751600000130</t>
  </si>
  <si>
    <t>213110400'= CONTAS A PAGAR CREDORES NACIONAIS010000000007797967000195</t>
  </si>
  <si>
    <t>213110400'= CONTAS A PAGAR CREDORES NACIONAIS010000000007799454000113</t>
  </si>
  <si>
    <t>213110400'= CONTAS A PAGAR CREDORES NACIONAIS010000000007885198000187</t>
  </si>
  <si>
    <t>213110400'= CONTAS A PAGAR CREDORES NACIONAIS010000000007969711000118</t>
  </si>
  <si>
    <t>213110400'= CONTAS A PAGAR CREDORES NACIONAIS010000000008100057000174</t>
  </si>
  <si>
    <t>213110400'= CONTAS A PAGAR CREDORES NACIONAIS010000000008172784000309</t>
  </si>
  <si>
    <t>213110400'= CONTAS A PAGAR CREDORES NACIONAIS010000000008388641000177</t>
  </si>
  <si>
    <t>213110400'= CONTAS A PAGAR CREDORES NACIONAIS010000000008395819000107</t>
  </si>
  <si>
    <t>213110400'= CONTAS A PAGAR CREDORES NACIONAIS010000000008402800000140</t>
  </si>
  <si>
    <t>213110400'= CONTAS A PAGAR CREDORES NACIONAIS010000000008561372000107</t>
  </si>
  <si>
    <t>213110400'= CONTAS A PAGAR CREDORES NACIONAIS010000000008624842000126</t>
  </si>
  <si>
    <t>213110400'= CONTAS A PAGAR CREDORES NACIONAIS010000000008689801000118</t>
  </si>
  <si>
    <t>213110400'= CONTAS A PAGAR CREDORES NACIONAIS010000000008916265000146</t>
  </si>
  <si>
    <t>213110400'= CONTAS A PAGAR CREDORES NACIONAIS010000000008925028000141</t>
  </si>
  <si>
    <t>213110400'= CONTAS A PAGAR CREDORES NACIONAIS010000000009017325000151</t>
  </si>
  <si>
    <t>213110400'= CONTAS A PAGAR CREDORES NACIONAIS010000000009154735000144</t>
  </si>
  <si>
    <t>213110400'= CONTAS A PAGAR CREDORES NACIONAIS010000000009212257000181</t>
  </si>
  <si>
    <t>213110400'= CONTAS A PAGAR CREDORES NACIONAIS010000000009240519000111</t>
  </si>
  <si>
    <t>213110400'= CONTAS A PAGAR CREDORES NACIONAIS010000000009292323000170</t>
  </si>
  <si>
    <t>213110400'= CONTAS A PAGAR CREDORES NACIONAIS010000000009454434000136</t>
  </si>
  <si>
    <t>213110400'= CONTAS A PAGAR CREDORES NACIONAIS010000000009471199000100</t>
  </si>
  <si>
    <t>213110400'= CONTAS A PAGAR CREDORES NACIONAIS010000000009487624000150</t>
  </si>
  <si>
    <t>213110400'= CONTAS A PAGAR CREDORES NACIONAIS010000000009532834000112</t>
  </si>
  <si>
    <t>213110400'= CONTAS A PAGAR CREDORES NACIONAIS010000000009535052000137</t>
  </si>
  <si>
    <t>213110400'= CONTAS A PAGAR CREDORES NACIONAIS010000000009632388000118</t>
  </si>
  <si>
    <t>213110400'= CONTAS A PAGAR CREDORES NACIONAIS010000000009642050000147</t>
  </si>
  <si>
    <t>213110400'= CONTAS A PAGAR CREDORES NACIONAIS010000000010213136000133</t>
  </si>
  <si>
    <t>213110400'= CONTAS A PAGAR CREDORES NACIONAIS010000000010242721000161</t>
  </si>
  <si>
    <t>213110400'= CONTAS A PAGAR CREDORES NACIONAIS010000000010243226000177</t>
  </si>
  <si>
    <t>213110400'= CONTAS A PAGAR CREDORES NACIONAIS010000000010259179000150</t>
  </si>
  <si>
    <t>213110400'= CONTAS A PAGAR CREDORES NACIONAIS010000000010312101000151</t>
  </si>
  <si>
    <t>213110400'= CONTAS A PAGAR CREDORES NACIONAIS010000000010378969000405</t>
  </si>
  <si>
    <t>213110400'= CONTAS A PAGAR CREDORES NACIONAIS010000000010414625000153</t>
  </si>
  <si>
    <t>213110400'= CONTAS A PAGAR CREDORES NACIONAIS010000000010439128000100</t>
  </si>
  <si>
    <t>213110400'= CONTAS A PAGAR CREDORES NACIONAIS010000000010493362000115</t>
  </si>
  <si>
    <t>213110400'= CONTAS A PAGAR CREDORES NACIONAIS010000000010498974000281</t>
  </si>
  <si>
    <t>213110400'= CONTAS A PAGAR CREDORES NACIONAIS010000000010618016000116</t>
  </si>
  <si>
    <t>213110400'= CONTAS A PAGAR CREDORES NACIONAIS010000000010679936000144</t>
  </si>
  <si>
    <t>213110400'= CONTAS A PAGAR CREDORES NACIONAIS010000000010768965000182</t>
  </si>
  <si>
    <t>213110400'= CONTAS A PAGAR CREDORES NACIONAIS010000000010791530000159</t>
  </si>
  <si>
    <t>213110400'= CONTAS A PAGAR CREDORES NACIONAIS010000000010796406000186</t>
  </si>
  <si>
    <t>213110400'= CONTAS A PAGAR CREDORES NACIONAIS010000000010869961000190</t>
  </si>
  <si>
    <t>213110400'= CONTAS A PAGAR CREDORES NACIONAIS010000000010876608000138</t>
  </si>
  <si>
    <t>213110400'= CONTAS A PAGAR CREDORES NACIONAIS010000000010894768000100</t>
  </si>
  <si>
    <t>213110400'= CONTAS A PAGAR CREDORES NACIONAIS010000000010955105000158</t>
  </si>
  <si>
    <t>213110400'= CONTAS A PAGAR CREDORES NACIONAIS010000000010992676000162</t>
  </si>
  <si>
    <t>213110400'= CONTAS A PAGAR CREDORES NACIONAIS010000000011319574000143</t>
  </si>
  <si>
    <t>213110400'= CONTAS A PAGAR CREDORES NACIONAIS010000000011394929000169</t>
  </si>
  <si>
    <t>213110400'= CONTAS A PAGAR CREDORES NACIONAIS010000000011488758000137</t>
  </si>
  <si>
    <t>213110400'= CONTAS A PAGAR CREDORES NACIONAIS010000000011699534000174</t>
  </si>
  <si>
    <t>213110400'= CONTAS A PAGAR CREDORES NACIONAIS010000000011738302000188</t>
  </si>
  <si>
    <t>213110400'= CONTAS A PAGAR CREDORES NACIONAIS010000000011810229000108</t>
  </si>
  <si>
    <t>213110400'= CONTAS A PAGAR CREDORES NACIONAIS010000000011880336000102</t>
  </si>
  <si>
    <t>213110400'= CONTAS A PAGAR CREDORES NACIONAIS010000000011903685000100</t>
  </si>
  <si>
    <t>213110400'= CONTAS A PAGAR CREDORES NACIONAIS010000000011994821000107</t>
  </si>
  <si>
    <t>213110400'= CONTAS A PAGAR CREDORES NACIONAIS010000000012243728000123</t>
  </si>
  <si>
    <t>213110400'= CONTAS A PAGAR CREDORES NACIONAIS010000000012267127000150</t>
  </si>
  <si>
    <t>213110400'= CONTAS A PAGAR CREDORES NACIONAIS010000000012397383000162</t>
  </si>
  <si>
    <t>213110400'= CONTAS A PAGAR CREDORES NACIONAIS010000000012427137000106</t>
  </si>
  <si>
    <t>213110400'= CONTAS A PAGAR CREDORES NACIONAIS010000000012533412000176</t>
  </si>
  <si>
    <t>213110400'= CONTAS A PAGAR CREDORES NACIONAIS010000000012664239000145</t>
  </si>
  <si>
    <t>213110400'= CONTAS A PAGAR CREDORES NACIONAIS010000000012729037000134</t>
  </si>
  <si>
    <t>213110400'= CONTAS A PAGAR CREDORES NACIONAIS010000000012788962000136</t>
  </si>
  <si>
    <t>213110400'= CONTAS A PAGAR CREDORES NACIONAIS010000000012951164000183</t>
  </si>
  <si>
    <t>213110400'= CONTAS A PAGAR CREDORES NACIONAIS010000000013080862000113</t>
  </si>
  <si>
    <t>213110400'= CONTAS A PAGAR CREDORES NACIONAIS010000000013336262000173</t>
  </si>
  <si>
    <t>213110400'= CONTAS A PAGAR CREDORES NACIONAIS010000000013603312000131</t>
  </si>
  <si>
    <t>213110400'= CONTAS A PAGAR CREDORES NACIONAIS010000000013677266000115</t>
  </si>
  <si>
    <t>213110400'= CONTAS A PAGAR CREDORES NACIONAIS010000000013692691000183</t>
  </si>
  <si>
    <t>213110400'= CONTAS A PAGAR CREDORES NACIONAIS010000000013743336000196</t>
  </si>
  <si>
    <t>213110400'= CONTAS A PAGAR CREDORES NACIONAIS010000000013830495000128</t>
  </si>
  <si>
    <t>213110400'= CONTAS A PAGAR CREDORES NACIONAIS010000000013977867000143</t>
  </si>
  <si>
    <t>213110400'= CONTAS A PAGAR CREDORES NACIONAIS010000000014108596000152</t>
  </si>
  <si>
    <t>213110400'= CONTAS A PAGAR CREDORES NACIONAIS010000000014205151000190</t>
  </si>
  <si>
    <t>213110400'= CONTAS A PAGAR CREDORES NACIONAIS010000000014704178000128</t>
  </si>
  <si>
    <t>213110400'= CONTAS A PAGAR CREDORES NACIONAIS010000000014766523000158</t>
  </si>
  <si>
    <t>213110400'= CONTAS A PAGAR CREDORES NACIONAIS010000000014766523000239</t>
  </si>
  <si>
    <t>213110400'= CONTAS A PAGAR CREDORES NACIONAIS010000000014769644000153</t>
  </si>
  <si>
    <t>213110400'= CONTAS A PAGAR CREDORES NACIONAIS010000000014830349000165</t>
  </si>
  <si>
    <t>213110400'= CONTAS A PAGAR CREDORES NACIONAIS010000000015080950000140</t>
  </si>
  <si>
    <t>213110400'= CONTAS A PAGAR CREDORES NACIONAIS010000000015827138711</t>
  </si>
  <si>
    <t>213110400'= CONTAS A PAGAR CREDORES NACIONAIS010000000016717163000120</t>
  </si>
  <si>
    <t>213110400'= CONTAS A PAGAR CREDORES NACIONAIS010000000016727386000178</t>
  </si>
  <si>
    <t>213110400'= CONTAS A PAGAR CREDORES NACIONAIS010000000016731862000124</t>
  </si>
  <si>
    <t>213110400'= CONTAS A PAGAR CREDORES NACIONAIS010000000016823397000151</t>
  </si>
  <si>
    <t>213110400'= CONTAS A PAGAR CREDORES NACIONAIS010000000016826800000104</t>
  </si>
  <si>
    <t>213110400'= CONTAS A PAGAR CREDORES NACIONAIS010000000016897185000119</t>
  </si>
  <si>
    <t>213110400'= CONTAS A PAGAR CREDORES NACIONAIS010000000016944219000189</t>
  </si>
  <si>
    <t>213110400'= CONTAS A PAGAR CREDORES NACIONAIS010000000017204750000188</t>
  </si>
  <si>
    <t>213110400'= CONTAS A PAGAR CREDORES NACIONAIS010000000017205187000162</t>
  </si>
  <si>
    <t>213110400'= CONTAS A PAGAR CREDORES NACIONAIS010000000017231920000113</t>
  </si>
  <si>
    <t>213110400'= CONTAS A PAGAR CREDORES NACIONAIS010000000017281973001382</t>
  </si>
  <si>
    <t>213110400'= CONTAS A PAGAR CREDORES NACIONAIS010000000017354911000110</t>
  </si>
  <si>
    <t>213110400'= CONTAS A PAGAR CREDORES NACIONAIS010000000017486031752</t>
  </si>
  <si>
    <t>213110400'= CONTAS A PAGAR CREDORES NACIONAIS010000000018087315000183</t>
  </si>
  <si>
    <t>213110400'= CONTAS A PAGAR CREDORES NACIONAIS010000000018456378000160</t>
  </si>
  <si>
    <t>213110400'= CONTAS A PAGAR CREDORES NACIONAIS010000000018625561000141</t>
  </si>
  <si>
    <t>213110400'= CONTAS A PAGAR CREDORES NACIONAIS010000000018631695000175</t>
  </si>
  <si>
    <t>213110400'= CONTAS A PAGAR CREDORES NACIONAIS010000000018727053000174</t>
  </si>
  <si>
    <t>213110400'= CONTAS A PAGAR CREDORES NACIONAIS010000000018754751000169</t>
  </si>
  <si>
    <t>213110400'= CONTAS A PAGAR CREDORES NACIONAIS010000000018957047000103</t>
  </si>
  <si>
    <t>213110400'= CONTAS A PAGAR CREDORES NACIONAIS010000000019069562000110</t>
  </si>
  <si>
    <t>213110400'= CONTAS A PAGAR CREDORES NACIONAIS010000000019381800000128</t>
  </si>
  <si>
    <t>213110400'= CONTAS A PAGAR CREDORES NACIONAIS010000000019486258000178</t>
  </si>
  <si>
    <t>213110400'= CONTAS A PAGAR CREDORES NACIONAIS010000000019572326000111</t>
  </si>
  <si>
    <t>213110400'= CONTAS A PAGAR CREDORES NACIONAIS010000000020063556000134</t>
  </si>
  <si>
    <t>213110400'= CONTAS A PAGAR CREDORES NACIONAIS010000000020206962000109</t>
  </si>
  <si>
    <t>213110400'= CONTAS A PAGAR CREDORES NACIONAIS010000000020491368000107</t>
  </si>
  <si>
    <t>213110400'= CONTAS A PAGAR CREDORES NACIONAIS010000000020826030000169</t>
  </si>
  <si>
    <t>213110400'= CONTAS A PAGAR CREDORES NACIONAIS010000000020910783000158</t>
  </si>
  <si>
    <t>213110400'= CONTAS A PAGAR CREDORES NACIONAIS010000000020915727000106</t>
  </si>
  <si>
    <t>213110400'= CONTAS A PAGAR CREDORES NACIONAIS010000000020922171000185</t>
  </si>
  <si>
    <t>213110400'= CONTAS A PAGAR CREDORES NACIONAIS010000000021000322000100</t>
  </si>
  <si>
    <t>213110400'= CONTAS A PAGAR CREDORES NACIONAIS010000000021004195000118</t>
  </si>
  <si>
    <t>213110400'= CONTAS A PAGAR CREDORES NACIONAIS010000000021156486000121</t>
  </si>
  <si>
    <t>213110400'= CONTAS A PAGAR CREDORES NACIONAIS010000000021161752000104</t>
  </si>
  <si>
    <t>213110400'= CONTAS A PAGAR CREDORES NACIONAIS010000000021248983000150</t>
  </si>
  <si>
    <t>213110400'= CONTAS A PAGAR CREDORES NACIONAIS010000000021532055000112</t>
  </si>
  <si>
    <t>213110400'= CONTAS A PAGAR CREDORES NACIONAIS010000000021577007000140</t>
  </si>
  <si>
    <t>213110400'= CONTAS A PAGAR CREDORES NACIONAIS010000000021627946000152</t>
  </si>
  <si>
    <t>213110400'= CONTAS A PAGAR CREDORES NACIONAIS010000000021932813000190</t>
  </si>
  <si>
    <t>213110400'= CONTAS A PAGAR CREDORES NACIONAIS010000000021948551000151</t>
  </si>
  <si>
    <t>213110400'= CONTAS A PAGAR CREDORES NACIONAIS010000000021993683000103</t>
  </si>
  <si>
    <t>213110400'= CONTAS A PAGAR CREDORES NACIONAIS010000000022166193000198</t>
  </si>
  <si>
    <t>213110400'= CONTAS A PAGAR CREDORES NACIONAIS010000000022166193001160</t>
  </si>
  <si>
    <t>213110400'= CONTAS A PAGAR CREDORES NACIONAIS010000000022261840000140</t>
  </si>
  <si>
    <t>213110400'= CONTAS A PAGAR CREDORES NACIONAIS010000000022584068000106</t>
  </si>
  <si>
    <t>213110400'= CONTAS A PAGAR CREDORES NACIONAIS010000000022633261000181</t>
  </si>
  <si>
    <t>213110400'= CONTAS A PAGAR CREDORES NACIONAIS010000000022847463000126</t>
  </si>
  <si>
    <t>213110400'= CONTAS A PAGAR CREDORES NACIONAIS010000000022966860000117</t>
  </si>
  <si>
    <t>213110400'= CONTAS A PAGAR CREDORES NACIONAIS010000000023431536000167</t>
  </si>
  <si>
    <t>213110400'= CONTAS A PAGAR CREDORES NACIONAIS010000000023439828000146</t>
  </si>
  <si>
    <t>213110400'= CONTAS A PAGAR CREDORES NACIONAIS010000000023733481000140</t>
  </si>
  <si>
    <t>213110400'= CONTAS A PAGAR CREDORES NACIONAIS010000000023791906000177</t>
  </si>
  <si>
    <t>213110400'= CONTAS A PAGAR CREDORES NACIONAIS010000000023852594000164</t>
  </si>
  <si>
    <t>213110400'= CONTAS A PAGAR CREDORES NACIONAIS010000000023878660000175</t>
  </si>
  <si>
    <t>213110400'= CONTAS A PAGAR CREDORES NACIONAIS010000000023881888000114</t>
  </si>
  <si>
    <t>213110400'= CONTAS A PAGAR CREDORES NACIONAIS010000000023886982000166</t>
  </si>
  <si>
    <t>213110400'= CONTAS A PAGAR CREDORES NACIONAIS010000000024198993000116</t>
  </si>
  <si>
    <t>213110400'= CONTAS A PAGAR CREDORES NACIONAIS010000000024239418000114</t>
  </si>
  <si>
    <t>213110400'= CONTAS A PAGAR CREDORES NACIONAIS010000000024868850000174</t>
  </si>
  <si>
    <t>213110400'= CONTAS A PAGAR CREDORES NACIONAIS010000000025017284000150</t>
  </si>
  <si>
    <t>213110400'= CONTAS A PAGAR CREDORES NACIONAIS010000000025229713000152</t>
  </si>
  <si>
    <t>213110400'= CONTAS A PAGAR CREDORES NACIONAIS010000000025281415000101</t>
  </si>
  <si>
    <t>213110400'= CONTAS A PAGAR CREDORES NACIONAIS010000000026410329000114</t>
  </si>
  <si>
    <t>213110400'= CONTAS A PAGAR CREDORES NACIONAIS010000000027039914000112</t>
  </si>
  <si>
    <t>213110400'= CONTAS A PAGAR CREDORES NACIONAIS010000000027282748000180</t>
  </si>
  <si>
    <t>213110400'= CONTAS A PAGAR CREDORES NACIONAIS010000000027372218000123</t>
  </si>
  <si>
    <t>213110400'= CONTAS A PAGAR CREDORES NACIONAIS010000000027452646000166</t>
  </si>
  <si>
    <t>213110400'= CONTAS A PAGAR CREDORES NACIONAIS010000000027505482000198</t>
  </si>
  <si>
    <t>213110400'= CONTAS A PAGAR CREDORES NACIONAIS010000000027696673000184</t>
  </si>
  <si>
    <t>213110400'= CONTAS A PAGAR CREDORES NACIONAIS010000000027907518000160</t>
  </si>
  <si>
    <t>213110400'= CONTAS A PAGAR CREDORES NACIONAIS010000000028038349000131</t>
  </si>
  <si>
    <t>213110400'= CONTAS A PAGAR CREDORES NACIONAIS010000000028383198000159</t>
  </si>
  <si>
    <t>213110400'= CONTAS A PAGAR CREDORES NACIONAIS010000000028389135000100</t>
  </si>
  <si>
    <t>213110400'= CONTAS A PAGAR CREDORES NACIONAIS010000000028503548000173</t>
  </si>
  <si>
    <t>213110400'= CONTAS A PAGAR CREDORES NACIONAIS010000000028542017000190</t>
  </si>
  <si>
    <t>213110400'= CONTAS A PAGAR CREDORES NACIONAIS010000000028633217000158</t>
  </si>
  <si>
    <t>213110400'= CONTAS A PAGAR CREDORES NACIONAIS010000000028640115000160</t>
  </si>
  <si>
    <t>213110400'= CONTAS A PAGAR CREDORES NACIONAIS010000000028683597000135</t>
  </si>
  <si>
    <t>213110400'= CONTAS A PAGAR CREDORES NACIONAIS010000000028703478000105</t>
  </si>
  <si>
    <t>213110400'= CONTAS A PAGAR CREDORES NACIONAIS010000000028780007000192</t>
  </si>
  <si>
    <t>213110400'= CONTAS A PAGAR CREDORES NACIONAIS010000000028966381000187</t>
  </si>
  <si>
    <t>213110400'= CONTAS A PAGAR CREDORES NACIONAIS010000000029171158000106</t>
  </si>
  <si>
    <t>213110400'= CONTAS A PAGAR CREDORES NACIONAIS010000000029502960000131</t>
  </si>
  <si>
    <t>213110400'= CONTAS A PAGAR CREDORES NACIONAIS010000000029520343000169</t>
  </si>
  <si>
    <t>213110400'= CONTAS A PAGAR CREDORES NACIONAIS010000000029590960000130</t>
  </si>
  <si>
    <t>213110400'= CONTAS A PAGAR CREDORES NACIONAIS010000000029617631000136</t>
  </si>
  <si>
    <t>213110400'= CONTAS A PAGAR CREDORES NACIONAIS010000000029760831000143</t>
  </si>
  <si>
    <t>213110400'= CONTAS A PAGAR CREDORES NACIONAIS010000000029782634000125</t>
  </si>
  <si>
    <t>213110400'= CONTAS A PAGAR CREDORES NACIONAIS010000000029799921000148</t>
  </si>
  <si>
    <t>213110400'= CONTAS A PAGAR CREDORES NACIONAIS010000000029912565000127</t>
  </si>
  <si>
    <t>213110400'= CONTAS A PAGAR CREDORES NACIONAIS010000000029915924000108</t>
  </si>
  <si>
    <t>213110400'= CONTAS A PAGAR CREDORES NACIONAIS010000000029935657000122</t>
  </si>
  <si>
    <t>213110400'= CONTAS A PAGAR CREDORES NACIONAIS010000000029990127000187</t>
  </si>
  <si>
    <t>213110400'= CONTAS A PAGAR CREDORES NACIONAIS010000000029999597000101</t>
  </si>
  <si>
    <t>213110400'= CONTAS A PAGAR CREDORES NACIONAIS010000000030019904000120</t>
  </si>
  <si>
    <t>213110400'= CONTAS A PAGAR CREDORES NACIONAIS010000000030020705000131</t>
  </si>
  <si>
    <t>213110400'= CONTAS A PAGAR CREDORES NACIONAIS010000000030194450000123</t>
  </si>
  <si>
    <t>213110400'= CONTAS A PAGAR CREDORES NACIONAIS010000000030235521000199</t>
  </si>
  <si>
    <t>213110400'= CONTAS A PAGAR CREDORES NACIONAIS010000000030293526000178</t>
  </si>
  <si>
    <t>213110400'= CONTAS A PAGAR CREDORES NACIONAIS010000000030351303000110</t>
  </si>
  <si>
    <t>213110400'= CONTAS A PAGAR CREDORES NACIONAIS010000000030669591000155</t>
  </si>
  <si>
    <t>213110400'= CONTAS A PAGAR CREDORES NACIONAIS010000000030927990000500</t>
  </si>
  <si>
    <t>213110400'= CONTAS A PAGAR CREDORES NACIONAIS010000000031015640000107</t>
  </si>
  <si>
    <t>213110400'= CONTAS A PAGAR CREDORES NACIONAIS010000000031085291000191</t>
  </si>
  <si>
    <t>213110400'= CONTAS A PAGAR CREDORES NACIONAIS010000000031094667000124</t>
  </si>
  <si>
    <t>213110400'= CONTAS A PAGAR CREDORES NACIONAIS010000000031264716000120</t>
  </si>
  <si>
    <t>213110400'= CONTAS A PAGAR CREDORES NACIONAIS010000000031347922000101</t>
  </si>
  <si>
    <t>213110400'= CONTAS A PAGAR CREDORES NACIONAIS010000000031352081000112</t>
  </si>
  <si>
    <t>213110400'= CONTAS A PAGAR CREDORES NACIONAIS010000000031645807000105</t>
  </si>
  <si>
    <t>213110400'= CONTAS A PAGAR CREDORES NACIONAIS010000000031645807000377</t>
  </si>
  <si>
    <t>213110400'= CONTAS A PAGAR CREDORES NACIONAIS010000000031699425000164</t>
  </si>
  <si>
    <t>213110400'= CONTAS A PAGAR CREDORES NACIONAIS010000000031888692000180</t>
  </si>
  <si>
    <t>213110400'= CONTAS A PAGAR CREDORES NACIONAIS010000000031927213000197</t>
  </si>
  <si>
    <t>213110400'= CONTAS A PAGAR CREDORES NACIONAIS010000000031978612000187</t>
  </si>
  <si>
    <t>213110400'= CONTAS A PAGAR CREDORES NACIONAIS010000000032125858000179</t>
  </si>
  <si>
    <t>213110400'= CONTAS A PAGAR CREDORES NACIONAIS010000000032223836000141</t>
  </si>
  <si>
    <t>213110400'= CONTAS A PAGAR CREDORES NACIONAIS010000000032275377000140</t>
  </si>
  <si>
    <t>213110400'= CONTAS A PAGAR CREDORES NACIONAIS010000000032319258000222</t>
  </si>
  <si>
    <t>213110400'= CONTAS A PAGAR CREDORES NACIONAIS010000000032324669000125</t>
  </si>
  <si>
    <t>213110400'= CONTAS A PAGAR CREDORES NACIONAIS010000000032620794000182</t>
  </si>
  <si>
    <t>213110400'= CONTAS A PAGAR CREDORES NACIONAIS010000000033003194000138</t>
  </si>
  <si>
    <t>213110400'= CONTAS A PAGAR CREDORES NACIONAIS010000000033029449000131</t>
  </si>
  <si>
    <t>213110400'= CONTAS A PAGAR CREDORES NACIONAIS010000000033049412001066</t>
  </si>
  <si>
    <t>213110400'= CONTAS A PAGAR CREDORES NACIONAIS010000000033054412000163</t>
  </si>
  <si>
    <t>213110400'= CONTAS A PAGAR CREDORES NACIONAIS010000000033054412000597</t>
  </si>
  <si>
    <t>213110400'= CONTAS A PAGAR CREDORES NACIONAIS010000000033097536000126</t>
  </si>
  <si>
    <t>213110400'= CONTAS A PAGAR CREDORES NACIONAIS010000000033149502000138</t>
  </si>
  <si>
    <t>213110400'= CONTAS A PAGAR CREDORES NACIONAIS010000000033234252000134</t>
  </si>
  <si>
    <t>213110400'= CONTAS A PAGAR CREDORES NACIONAIS010000000033325184002243</t>
  </si>
  <si>
    <t>213110400'= CONTAS A PAGAR CREDORES NACIONAIS010000000033337007000152</t>
  </si>
  <si>
    <t>213110400'= CONTAS A PAGAR CREDORES NACIONAIS010000000033345683000178</t>
  </si>
  <si>
    <t>213110400'= CONTAS A PAGAR CREDORES NACIONAIS010000000033352394000104</t>
  </si>
  <si>
    <t>213110400'= CONTAS A PAGAR CREDORES NACIONAIS010000000033439092000160</t>
  </si>
  <si>
    <t>213110400'= CONTAS A PAGAR CREDORES NACIONAIS010000000033449007000144</t>
  </si>
  <si>
    <t>213110400'= CONTAS A PAGAR CREDORES NACIONAIS010000000033476248000182</t>
  </si>
  <si>
    <t>213110400'= CONTAS A PAGAR CREDORES NACIONAIS010000000033480310000100</t>
  </si>
  <si>
    <t>213110400'= CONTAS A PAGAR CREDORES NACIONAIS010000000033480310000290</t>
  </si>
  <si>
    <t>213110400'= CONTAS A PAGAR CREDORES NACIONAIS010000000033555921000170</t>
  </si>
  <si>
    <t>213110400'= CONTAS A PAGAR CREDORES NACIONAIS010000000033575585000127</t>
  </si>
  <si>
    <t>213110400'= CONTAS A PAGAR CREDORES NACIONAIS010000000033634254000110</t>
  </si>
  <si>
    <t>213110400'= CONTAS A PAGAR CREDORES NACIONAIS010000000033636523000188</t>
  </si>
  <si>
    <t>213110400'= CONTAS A PAGAR CREDORES NACIONAIS010000000033641663000144</t>
  </si>
  <si>
    <t>213110400'= CONTAS A PAGAR CREDORES NACIONAIS010000000033746475000180</t>
  </si>
  <si>
    <t>213110400'= CONTAS A PAGAR CREDORES NACIONAIS010000000033773507000137</t>
  </si>
  <si>
    <t>213110400'= CONTAS A PAGAR CREDORES NACIONAIS010000000033845322002134</t>
  </si>
  <si>
    <t>213110400'= CONTAS A PAGAR CREDORES NACIONAIS010000000033988536000116</t>
  </si>
  <si>
    <t>213110400'= CONTAS A PAGAR CREDORES NACIONAIS010000000034020871000199</t>
  </si>
  <si>
    <t>213110400'= CONTAS A PAGAR CREDORES NACIONAIS010000000034028316000294</t>
  </si>
  <si>
    <t>213110400'= CONTAS A PAGAR CREDORES NACIONAIS010000000034163329000195</t>
  </si>
  <si>
    <t>213110400'= CONTAS A PAGAR CREDORES NACIONAIS010000000034260596000180</t>
  </si>
  <si>
    <t>213110400'= CONTAS A PAGAR CREDORES NACIONAIS010000000034682052000107</t>
  </si>
  <si>
    <t>213110400'= CONTAS A PAGAR CREDORES NACIONAIS010000000035717282000127</t>
  </si>
  <si>
    <t>213110400'= CONTAS A PAGAR CREDORES NACIONAIS010000000035794064000196</t>
  </si>
  <si>
    <t>213110400'= CONTAS A PAGAR CREDORES NACIONAIS010000000035815869000179</t>
  </si>
  <si>
    <t>213110400'= CONTAS A PAGAR CREDORES NACIONAIS010000000035820448000721</t>
  </si>
  <si>
    <t>213110400'= CONTAS A PAGAR CREDORES NACIONAIS010000000035914186000179</t>
  </si>
  <si>
    <t>213110400'= CONTAS A PAGAR CREDORES NACIONAIS010000000036003671000153</t>
  </si>
  <si>
    <t>213110400'= CONTAS A PAGAR CREDORES NACIONAIS010000000036146270000152</t>
  </si>
  <si>
    <t>213110400'= CONTAS A PAGAR CREDORES NACIONAIS010000000036241685000105</t>
  </si>
  <si>
    <t>213110400'= CONTAS A PAGAR CREDORES NACIONAIS010000000036462778000160</t>
  </si>
  <si>
    <t>213110400'= CONTAS A PAGAR CREDORES NACIONAIS010000000036483121000189</t>
  </si>
  <si>
    <t>213110400'= CONTAS A PAGAR CREDORES NACIONAIS010000000036673446000124</t>
  </si>
  <si>
    <t>213110400'= CONTAS A PAGAR CREDORES NACIONAIS010000000037092170000153</t>
  </si>
  <si>
    <t>213110400'= CONTAS A PAGAR CREDORES NACIONAIS010000000037180381000148</t>
  </si>
  <si>
    <t>213110400'= CONTAS A PAGAR CREDORES NACIONAIS010000000037227550000158</t>
  </si>
  <si>
    <t>213110400'= CONTAS A PAGAR CREDORES NACIONAIS010000000037278673000118</t>
  </si>
  <si>
    <t>213110400'= CONTAS A PAGAR CREDORES NACIONAIS010000000037828525000120</t>
  </si>
  <si>
    <t>213110400'= CONTAS A PAGAR CREDORES NACIONAIS010000000038130986000197</t>
  </si>
  <si>
    <t>213110400'= CONTAS A PAGAR CREDORES NACIONAIS010000000038167983000128</t>
  </si>
  <si>
    <t>213110400'= CONTAS A PAGAR CREDORES NACIONAIS010000000038297013000147</t>
  </si>
  <si>
    <t>213110400'= CONTAS A PAGAR CREDORES NACIONAIS010000000038503861000165</t>
  </si>
  <si>
    <t>213110400'= CONTAS A PAGAR CREDORES NACIONAIS010000000039075536000101</t>
  </si>
  <si>
    <t>213110400'= CONTAS A PAGAR CREDORES NACIONAIS010000000039162235000115</t>
  </si>
  <si>
    <t>213110400'= CONTAS A PAGAR CREDORES NACIONAIS010000000039896832000173</t>
  </si>
  <si>
    <t>213110400'= CONTAS A PAGAR CREDORES NACIONAIS010000000040152427000120</t>
  </si>
  <si>
    <t>213110400'= CONTAS A PAGAR CREDORES NACIONAIS010000000040178030000107</t>
  </si>
  <si>
    <t>213110400'= CONTAS A PAGAR CREDORES NACIONAIS010000000040206567000133</t>
  </si>
  <si>
    <t>213110400'= CONTAS A PAGAR CREDORES NACIONAIS010000000040282584000150</t>
  </si>
  <si>
    <t>213110400'= CONTAS A PAGAR CREDORES NACIONAIS010000000040628906000170</t>
  </si>
  <si>
    <t>213110400'= CONTAS A PAGAR CREDORES NACIONAIS010000000040867959000143</t>
  </si>
  <si>
    <t>213110400'= CONTAS A PAGAR CREDORES NACIONAIS010000000042168526000125</t>
  </si>
  <si>
    <t>213110400'= CONTAS A PAGAR CREDORES NACIONAIS010000000042168781000178</t>
  </si>
  <si>
    <t>213110400'= CONTAS A PAGAR CREDORES NACIONAIS010000000042270058000103</t>
  </si>
  <si>
    <t>213110400'= CONTAS A PAGAR CREDORES NACIONAIS010000000042277434000183</t>
  </si>
  <si>
    <t>213110400'= CONTAS A PAGAR CREDORES NACIONAIS010000000042283770000139</t>
  </si>
  <si>
    <t>213110400'= CONTAS A PAGAR CREDORES NACIONAIS010000000042292007000174</t>
  </si>
  <si>
    <t>213110400'= CONTAS A PAGAR CREDORES NACIONAIS010000000042366302000128</t>
  </si>
  <si>
    <t>213110400'= CONTAS A PAGAR CREDORES NACIONAIS010000000042422253000101</t>
  </si>
  <si>
    <t>213110400'= CONTAS A PAGAR CREDORES NACIONAIS010000000042955259000136</t>
  </si>
  <si>
    <t>213110400'= CONTAS A PAGAR CREDORES NACIONAIS010000000042970433000110</t>
  </si>
  <si>
    <t>213110400'= CONTAS A PAGAR CREDORES NACIONAIS010000000043283811001202</t>
  </si>
  <si>
    <t>213110400'= CONTAS A PAGAR CREDORES NACIONAIS010000000043827491000151</t>
  </si>
  <si>
    <t>213110400'= CONTAS A PAGAR CREDORES NACIONAIS010000000043843358000512</t>
  </si>
  <si>
    <t>213110400'= CONTAS A PAGAR CREDORES NACIONAIS010000000043948215000575</t>
  </si>
  <si>
    <t>213110400'= CONTAS A PAGAR CREDORES NACIONAIS010000000044361938000102</t>
  </si>
  <si>
    <t>213110400'= CONTAS A PAGAR CREDORES NACIONAIS010000000044669141000177</t>
  </si>
  <si>
    <t>213110400'= CONTAS A PAGAR CREDORES NACIONAIS010000000044673184000126</t>
  </si>
  <si>
    <t>213110400'= CONTAS A PAGAR CREDORES NACIONAIS010000000046390209000100</t>
  </si>
  <si>
    <t>213110400'= CONTAS A PAGAR CREDORES NACIONAIS010000000046533808000135</t>
  </si>
  <si>
    <t>213110400'= CONTAS A PAGAR CREDORES NACIONAIS010000000046555033000107</t>
  </si>
  <si>
    <t>213110400'= CONTAS A PAGAR CREDORES NACIONAIS010000000046906624000173</t>
  </si>
  <si>
    <t>213110400'= CONTAS A PAGAR CREDORES NACIONAIS010000000047067766000157</t>
  </si>
  <si>
    <t>213110400'= CONTAS A PAGAR CREDORES NACIONAIS010000000050400407000184</t>
  </si>
  <si>
    <t>213110400'= CONTAS A PAGAR CREDORES NACIONAIS010000000050892934000153</t>
  </si>
  <si>
    <t>213110400'= CONTAS A PAGAR CREDORES NACIONAIS010000000051334654000192</t>
  </si>
  <si>
    <t>213110400'= CONTAS A PAGAR CREDORES NACIONAIS010000000051733129000140</t>
  </si>
  <si>
    <t>213110400'= CONTAS A PAGAR CREDORES NACIONAIS010000000052704921000139</t>
  </si>
  <si>
    <t>213110400'= CONTAS A PAGAR CREDORES NACIONAIS010000000053910899000146</t>
  </si>
  <si>
    <t>213110400'= CONTAS A PAGAR CREDORES NACIONAIS010000000054999438000154</t>
  </si>
  <si>
    <t>213110400'= CONTAS A PAGAR CREDORES NACIONAIS010000000055576706000198</t>
  </si>
  <si>
    <t>213110400'= CONTAS A PAGAR CREDORES NACIONAIS010000000055616429000108</t>
  </si>
  <si>
    <t>213110400'= CONTAS A PAGAR CREDORES NACIONAIS010000000056131857000103</t>
  </si>
  <si>
    <t>213110400'= CONTAS A PAGAR CREDORES NACIONAIS010000000057158057000130</t>
  </si>
  <si>
    <t>213110400'= CONTAS A PAGAR CREDORES NACIONAIS010000000057158057000645</t>
  </si>
  <si>
    <t>213110400'= CONTAS A PAGAR CREDORES NACIONAIS010000000057304479000177</t>
  </si>
  <si>
    <t>213110400'= CONTAS A PAGAR CREDORES NACIONAIS010000000057910325000129</t>
  </si>
  <si>
    <t>213110400'= CONTAS A PAGAR CREDORES NACIONAIS010000000057922445000146</t>
  </si>
  <si>
    <t>213110400'= CONTAS A PAGAR CREDORES NACIONAIS010000000058368150000132</t>
  </si>
  <si>
    <t>213110400'= CONTAS A PAGAR CREDORES NACIONAIS010000000058707050000193</t>
  </si>
  <si>
    <t>213110400'= CONTAS A PAGAR CREDORES NACIONAIS010000000058890252000113</t>
  </si>
  <si>
    <t>213110400'= CONTAS A PAGAR CREDORES NACIONAIS010000000059618207000177</t>
  </si>
  <si>
    <t>213110400'= CONTAS A PAGAR CREDORES NACIONAIS010000000059750141000174</t>
  </si>
  <si>
    <t>213110400'= CONTAS A PAGAR CREDORES NACIONAIS010000000060010287000162</t>
  </si>
  <si>
    <t>213110400'= CONTAS A PAGAR CREDORES NACIONAIS010000000060191616000119</t>
  </si>
  <si>
    <t>213110400'= CONTAS A PAGAR CREDORES NACIONAIS010000000060444437000146</t>
  </si>
  <si>
    <t>213110400'= CONTAS A PAGAR CREDORES NACIONAIS010000000060561719009775</t>
  </si>
  <si>
    <t>213110400'= CONTAS A PAGAR CREDORES NACIONAIS010000000060592771000147</t>
  </si>
  <si>
    <t>213110400'= CONTAS A PAGAR CREDORES NACIONAIS010000000060633674000155</t>
  </si>
  <si>
    <t>213110400'= CONTAS A PAGAR CREDORES NACIONAIS010000000060886413012820</t>
  </si>
  <si>
    <t>213110400'= CONTAS A PAGAR CREDORES NACIONAIS010000000060886447000131</t>
  </si>
  <si>
    <t>213110400'= CONTAS A PAGAR CREDORES NACIONAIS010000000060954161000146</t>
  </si>
  <si>
    <t>213110400'= CONTAS A PAGAR CREDORES NACIONAIS010000000061074175000138</t>
  </si>
  <si>
    <t>213110400'= CONTAS A PAGAR CREDORES NACIONAIS010000000061198164000160</t>
  </si>
  <si>
    <t>213110400'= CONTAS A PAGAR CREDORES NACIONAIS010000000061383493000180</t>
  </si>
  <si>
    <t>213110400'= CONTAS A PAGAR CREDORES NACIONAIS010000000061479002000108</t>
  </si>
  <si>
    <t>213110400'= CONTAS A PAGAR CREDORES NACIONAIS010000000062312426000138</t>
  </si>
  <si>
    <t>213110400'= CONTAS A PAGAR CREDORES NACIONAIS010000000062405196000151</t>
  </si>
  <si>
    <t>213110400'= CONTAS A PAGAR CREDORES NACIONAIS010000000062460290000103</t>
  </si>
  <si>
    <t>213110400'= CONTAS A PAGAR CREDORES NACIONAIS010000000062576749000139</t>
  </si>
  <si>
    <t>213110400'= CONTAS A PAGAR CREDORES NACIONAIS010000000062700455000177</t>
  </si>
  <si>
    <t>213110400'= CONTAS A PAGAR CREDORES NACIONAIS010000000062879051000192</t>
  </si>
  <si>
    <t>213110400'= CONTAS A PAGAR CREDORES NACIONAIS010000000062958491000135</t>
  </si>
  <si>
    <t>213110400'= CONTAS A PAGAR CREDORES NACIONAIS010000000063034847000107</t>
  </si>
  <si>
    <t>213110400'= CONTAS A PAGAR CREDORES NACIONAIS010000000068672450000164</t>
  </si>
  <si>
    <t>213110400'= CONTAS A PAGAR CREDORES NACIONAIS010000000068765114000166</t>
  </si>
  <si>
    <t>213110400'= CONTAS A PAGAR CREDORES NACIONAIS010000000068993641001019</t>
  </si>
  <si>
    <t>213110400'= CONTAS A PAGAR CREDORES NACIONAIS010000000069113322000143</t>
  </si>
  <si>
    <t>213110400'= CONTAS A PAGAR CREDORES NACIONAIS010000000069275337000108</t>
  </si>
  <si>
    <t>213110400'= CONTAS A PAGAR CREDORES NACIONAIS010000000072343882000107</t>
  </si>
  <si>
    <t>213110400'= CONTAS A PAGAR CREDORES NACIONAIS010000000072368012000184</t>
  </si>
  <si>
    <t>213110400'= CONTAS A PAGAR CREDORES NACIONAIS010000000072734791000194</t>
  </si>
  <si>
    <t>213110400'= CONTAS A PAGAR CREDORES NACIONAIS010000000073873002000169</t>
  </si>
  <si>
    <t>213110400'= CONTAS A PAGAR CREDORES NACIONAIS010000000074460387000103</t>
  </si>
  <si>
    <t>213110400'= CONTAS A PAGAR CREDORES NACIONAIS010000000074671991000170</t>
  </si>
  <si>
    <t>213110400'= CONTAS A PAGAR CREDORES NACIONAIS010000000076535764000143</t>
  </si>
  <si>
    <t>213110400'= CONTAS A PAGAR CREDORES NACIONAIS010000000077964484000113</t>
  </si>
  <si>
    <t>213110400'= CONTAS A PAGAR CREDORES NACIONAIS010000000078626363000124</t>
  </si>
  <si>
    <t>213110400'= CONTAS A PAGAR CREDORES NACIONAIS010000000078796778000146</t>
  </si>
  <si>
    <t>213110400'= CONTAS A PAGAR CREDORES NACIONAIS010000000079283065000141</t>
  </si>
  <si>
    <t>213110400'= CONTAS A PAGAR CREDORES NACIONAIS010000000080479231000169</t>
  </si>
  <si>
    <t>213110400'= CONTAS A PAGAR CREDORES NACIONAIS010000000083931113000138</t>
  </si>
  <si>
    <t>213110400'= CONTAS A PAGAR CREDORES NACIONAIS010000000086781069000115</t>
  </si>
  <si>
    <t>213110400'= CONTAS A PAGAR CREDORES NACIONAIS010000000087252045000131</t>
  </si>
  <si>
    <t>213110400'= CONTAS A PAGAR CREDORES NACIONAIS010000000090762410744</t>
  </si>
  <si>
    <t>213110400'= CONTAS A PAGAR CREDORES NACIONAIS010000000092690700000254</t>
  </si>
  <si>
    <t>213110400'= CONTAS A PAGAR CREDORES NACIONAIS010000000093969707000191</t>
  </si>
  <si>
    <t>213110400'= CONTAS A PAGAR CREDORES NACIONAIS010000000096404942000104</t>
  </si>
  <si>
    <t>213110400'= CONTAS A PAGAR CREDORES NACIONAIS010000000096411301000187</t>
  </si>
  <si>
    <t>213110400'= CONTAS A PAGAR CREDORES NACIONAIS010000000096666862000127</t>
  </si>
  <si>
    <t>213110400'= CONTAS A PAGAR CREDORES NACIONAIS0100000000PF9999901</t>
  </si>
  <si>
    <t>213110400'= CONTAS A PAGAR CREDORES NACIONAIS0100000000PF9999905</t>
  </si>
  <si>
    <t>213110400'= CONTAS A PAGAR CREDORES NACIONAIS0100000000PF9999922</t>
  </si>
  <si>
    <t>213110400'= CONTAS A PAGAR CREDORES NACIONAIS0100000000PF9999998</t>
  </si>
  <si>
    <t>213110400'= CONTAS A PAGAR CREDORES NACIONAIS014400000007969711000118</t>
  </si>
  <si>
    <t>213110400'= CONTAS A PAGAR CREDORES NACIONAIS015011320800000000000191</t>
  </si>
  <si>
    <t>213110400'= CONTAS A PAGAR CREDORES NACIONAIS015011320800171128000118</t>
  </si>
  <si>
    <t>213110400'= CONTAS A PAGAR CREDORES NACIONAIS015011320800358169000118</t>
  </si>
  <si>
    <t>213110400'= CONTAS A PAGAR CREDORES NACIONAIS015011320800565813000129</t>
  </si>
  <si>
    <t>213110400'= CONTAS A PAGAR CREDORES NACIONAIS015011320800604122000197</t>
  </si>
  <si>
    <t>213110400'= CONTAS A PAGAR CREDORES NACIONAIS015011320800714403000100</t>
  </si>
  <si>
    <t>213110400'= CONTAS A PAGAR CREDORES NACIONAIS015011320800740696000192</t>
  </si>
  <si>
    <t>213110400'= CONTAS A PAGAR CREDORES NACIONAIS015011320800957796000175</t>
  </si>
  <si>
    <t>213110400'= CONTAS A PAGAR CREDORES NACIONAIS015011320801004749000170</t>
  </si>
  <si>
    <t>213110400'= CONTAS A PAGAR CREDORES NACIONAIS015011320801082331000180</t>
  </si>
  <si>
    <t>213110400'= CONTAS A PAGAR CREDORES NACIONAIS015011320801597589000977</t>
  </si>
  <si>
    <t>213110400'= CONTAS A PAGAR CREDORES NACIONAIS015011320801815999000190</t>
  </si>
  <si>
    <t>213110400'= CONTAS A PAGAR CREDORES NACIONAIS015011320802016558000190</t>
  </si>
  <si>
    <t>213110400'= CONTAS A PAGAR CREDORES NACIONAIS015011320802149434000183</t>
  </si>
  <si>
    <t>213110400'= CONTAS A PAGAR CREDORES NACIONAIS015011320802174255000104</t>
  </si>
  <si>
    <t>213110400'= CONTAS A PAGAR CREDORES NACIONAIS015011320802288055000174</t>
  </si>
  <si>
    <t>213110400'= CONTAS A PAGAR CREDORES NACIONAIS015011320802421421000111</t>
  </si>
  <si>
    <t>213110400'= CONTAS A PAGAR CREDORES NACIONAIS015011320802623638000104</t>
  </si>
  <si>
    <t>213110400'= CONTAS A PAGAR CREDORES NACIONAIS015011320802768278000139</t>
  </si>
  <si>
    <t>213110400'= CONTAS A PAGAR CREDORES NACIONAIS015011320803020839000180</t>
  </si>
  <si>
    <t>213110400'= CONTAS A PAGAR CREDORES NACIONAIS015011320803117534000190</t>
  </si>
  <si>
    <t>213110400'= CONTAS A PAGAR CREDORES NACIONAIS015011320803127904000170</t>
  </si>
  <si>
    <t>213110400'= CONTAS A PAGAR CREDORES NACIONAIS015011320803144465000104</t>
  </si>
  <si>
    <t>213110400'= CONTAS A PAGAR CREDORES NACIONAIS015011320803279285000130</t>
  </si>
  <si>
    <t>213110400'= CONTAS A PAGAR CREDORES NACIONAIS015011320803715960000126</t>
  </si>
  <si>
    <t>213110400'= CONTAS A PAGAR CREDORES NACIONAIS015011320803750757000190</t>
  </si>
  <si>
    <t>213110400'= CONTAS A PAGAR CREDORES NACIONAIS015011320803936142000153</t>
  </si>
  <si>
    <t>213110400'= CONTAS A PAGAR CREDORES NACIONAIS015011320804062944000144</t>
  </si>
  <si>
    <t>213110400'= CONTAS A PAGAR CREDORES NACIONAIS015011320804154489000107</t>
  </si>
  <si>
    <t>213110400'= CONTAS A PAGAR CREDORES NACIONAIS015011320804298309000756</t>
  </si>
  <si>
    <t>213110400'= CONTAS A PAGAR CREDORES NACIONAIS015011320804330905000180</t>
  </si>
  <si>
    <t>213110400'= CONTAS A PAGAR CREDORES NACIONAIS015011320804646573000148</t>
  </si>
  <si>
    <t>213110400'= CONTAS A PAGAR CREDORES NACIONAIS015011320804931019000102</t>
  </si>
  <si>
    <t>213110400'= CONTAS A PAGAR CREDORES NACIONAIS015011320804931019000293</t>
  </si>
  <si>
    <t>213110400'= CONTAS A PAGAR CREDORES NACIONAIS015011320805152318000101</t>
  </si>
  <si>
    <t>213110400'= CONTAS A PAGAR CREDORES NACIONAIS015011320805234289000127</t>
  </si>
  <si>
    <t>213110400'= CONTAS A PAGAR CREDORES NACIONAIS015011320805340639000130</t>
  </si>
  <si>
    <t>213110400'= CONTAS A PAGAR CREDORES NACIONAIS015011320805344234000170</t>
  </si>
  <si>
    <t>213110400'= CONTAS A PAGAR CREDORES NACIONAIS015011320805557185000153</t>
  </si>
  <si>
    <t>213110400'= CONTAS A PAGAR CREDORES NACIONAIS015011320805596488000185</t>
  </si>
  <si>
    <t>213110400'= CONTAS A PAGAR CREDORES NACIONAIS015011320805784878000189</t>
  </si>
  <si>
    <t>213110400'= CONTAS A PAGAR CREDORES NACIONAIS015011320806000195000156</t>
  </si>
  <si>
    <t>213110400'= CONTAS A PAGAR CREDORES NACIONAIS015011320806045031000145</t>
  </si>
  <si>
    <t>213110400'= CONTAS A PAGAR CREDORES NACIONAIS015011320806132270000132</t>
  </si>
  <si>
    <t>213110400'= CONTAS A PAGAR CREDORES NACIONAIS015011320806350648000174</t>
  </si>
  <si>
    <t>213110400'= CONTAS A PAGAR CREDORES NACIONAIS015011320806913480000320</t>
  </si>
  <si>
    <t>213110400'= CONTAS A PAGAR CREDORES NACIONAIS015011320807128158000190</t>
  </si>
  <si>
    <t>213110400'= CONTAS A PAGAR CREDORES NACIONAIS015011320807209817000113</t>
  </si>
  <si>
    <t>213110400'= CONTAS A PAGAR CREDORES NACIONAIS015011320807230076000152</t>
  </si>
  <si>
    <t>213110400'= CONTAS A PAGAR CREDORES NACIONAIS015011320807244182000195</t>
  </si>
  <si>
    <t>213110400'= CONTAS A PAGAR CREDORES NACIONAIS015011320807358761001645</t>
  </si>
  <si>
    <t>213110400'= CONTAS A PAGAR CREDORES NACIONAIS015011320807465373000187</t>
  </si>
  <si>
    <t>213110400'= CONTAS A PAGAR CREDORES NACIONAIS015011320807710046000143</t>
  </si>
  <si>
    <t>213110400'= CONTAS A PAGAR CREDORES NACIONAIS015011320808172784000309</t>
  </si>
  <si>
    <t>213110400'= CONTAS A PAGAR CREDORES NACIONAIS015011320808325039000190</t>
  </si>
  <si>
    <t>213110400'= CONTAS A PAGAR CREDORES NACIONAIS015011320808388641000177</t>
  </si>
  <si>
    <t>213110400'= CONTAS A PAGAR CREDORES NACIONAIS015011320808839819000159</t>
  </si>
  <si>
    <t>213110400'= CONTAS A PAGAR CREDORES NACIONAIS015011320808889091000170</t>
  </si>
  <si>
    <t>213110400'= CONTAS A PAGAR CREDORES NACIONAIS015011320809632388000118</t>
  </si>
  <si>
    <t>213110400'= CONTAS A PAGAR CREDORES NACIONAIS015011320810213136000133</t>
  </si>
  <si>
    <t>213110400'= CONTAS A PAGAR CREDORES NACIONAIS015011320810242721000161</t>
  </si>
  <si>
    <t>213110400'= CONTAS A PAGAR CREDORES NACIONAIS015011320810259179000150</t>
  </si>
  <si>
    <t>213110400'= CONTAS A PAGAR CREDORES NACIONAIS015011320810368869000147</t>
  </si>
  <si>
    <t>213110400'= CONTAS A PAGAR CREDORES NACIONAIS015011320810498974000281</t>
  </si>
  <si>
    <t>213110400'= CONTAS A PAGAR CREDORES NACIONAIS015011320810618016000116</t>
  </si>
  <si>
    <t>213110400'= CONTAS A PAGAR CREDORES NACIONAIS015011320810768965000182</t>
  </si>
  <si>
    <t>213110400'= CONTAS A PAGAR CREDORES NACIONAIS015011320810825457000199</t>
  </si>
  <si>
    <t>213110400'= CONTAS A PAGAR CREDORES NACIONAIS015011320810876608000138</t>
  </si>
  <si>
    <t>213110400'= CONTAS A PAGAR CREDORES NACIONAIS015011320810992676000162</t>
  </si>
  <si>
    <t>213110400'= CONTAS A PAGAR CREDORES NACIONAIS015011320811319574000143</t>
  </si>
  <si>
    <t>213110400'= CONTAS A PAGAR CREDORES NACIONAIS015011320811493926000182</t>
  </si>
  <si>
    <t>213110400'= CONTAS A PAGAR CREDORES NACIONAIS015011320811699534000174</t>
  </si>
  <si>
    <t>213110400'= CONTAS A PAGAR CREDORES NACIONAIS015011320811757229000191</t>
  </si>
  <si>
    <t>213110400'= CONTAS A PAGAR CREDORES NACIONAIS015011320811880336000102</t>
  </si>
  <si>
    <t>213110400'= CONTAS A PAGAR CREDORES NACIONAIS015011320812094632000140</t>
  </si>
  <si>
    <t>213110400'= CONTAS A PAGAR CREDORES NACIONAIS015011320812434334000152</t>
  </si>
  <si>
    <t>213110400'= CONTAS A PAGAR CREDORES NACIONAIS015011320812854640000148</t>
  </si>
  <si>
    <t>213110400'= CONTAS A PAGAR CREDORES NACIONAIS015011320812886951000199</t>
  </si>
  <si>
    <t>213110400'= CONTAS A PAGAR CREDORES NACIONAIS015011320813149502000120</t>
  </si>
  <si>
    <t>213110400'= CONTAS A PAGAR CREDORES NACIONAIS015011320813317063000118</t>
  </si>
  <si>
    <t>213110400'= CONTAS A PAGAR CREDORES NACIONAIS015011320813493278000190</t>
  </si>
  <si>
    <t>213110400'= CONTAS A PAGAR CREDORES NACIONAIS015011320813809800000108</t>
  </si>
  <si>
    <t>213110400'= CONTAS A PAGAR CREDORES NACIONAIS015011320813977867000143</t>
  </si>
  <si>
    <t>213110400'= CONTAS A PAGAR CREDORES NACIONAIS015011320814108596000152</t>
  </si>
  <si>
    <t>213110400'= CONTAS A PAGAR CREDORES NACIONAIS015011320814117645000113</t>
  </si>
  <si>
    <t>213110400'= CONTAS A PAGAR CREDORES NACIONAIS015011320814237718000100</t>
  </si>
  <si>
    <t>213110400'= CONTAS A PAGAR CREDORES NACIONAIS015011320814256315000109</t>
  </si>
  <si>
    <t>213110400'= CONTAS A PAGAR CREDORES NACIONAIS015011320814291005000125</t>
  </si>
  <si>
    <t>213110400'= CONTAS A PAGAR CREDORES NACIONAIS015011320814596408000182</t>
  </si>
  <si>
    <t>213110400'= CONTAS A PAGAR CREDORES NACIONAIS015011320814766523000239</t>
  </si>
  <si>
    <t>213110400'= CONTAS A PAGAR CREDORES NACIONAIS015011320814899088000130</t>
  </si>
  <si>
    <t>213110400'= CONTAS A PAGAR CREDORES NACIONAIS015011320815080950000140</t>
  </si>
  <si>
    <t>213110400'= CONTAS A PAGAR CREDORES NACIONAIS015011320815165950000143</t>
  </si>
  <si>
    <t>213110400'= CONTAS A PAGAR CREDORES NACIONAIS015011320816647700000102</t>
  </si>
  <si>
    <t>213110400'= CONTAS A PAGAR CREDORES NACIONAIS015011320816826800000104</t>
  </si>
  <si>
    <t>213110400'= CONTAS A PAGAR CREDORES NACIONAIS015011320816897185000119</t>
  </si>
  <si>
    <t>213110400'= CONTAS A PAGAR CREDORES NACIONAIS015011320816944219000189</t>
  </si>
  <si>
    <t>213110400'= CONTAS A PAGAR CREDORES NACIONAIS015011320817140820000262</t>
  </si>
  <si>
    <t>213110400'= CONTAS A PAGAR CREDORES NACIONAIS015011320817296388000112</t>
  </si>
  <si>
    <t>213110400'= CONTAS A PAGAR CREDORES NACIONAIS015011320817354911000110</t>
  </si>
  <si>
    <t>213110400'= CONTAS A PAGAR CREDORES NACIONAIS015011320817533858000114</t>
  </si>
  <si>
    <t>213110400'= CONTAS A PAGAR CREDORES NACIONAIS015011320818501834000146</t>
  </si>
  <si>
    <t>213110400'= CONTAS A PAGAR CREDORES NACIONAIS015011320819069562000110</t>
  </si>
  <si>
    <t>213110400'= CONTAS A PAGAR CREDORES NACIONAIS015011320819381800000128</t>
  </si>
  <si>
    <t>213110400'= CONTAS A PAGAR CREDORES NACIONAIS015011320819469500000103</t>
  </si>
  <si>
    <t>213110400'= CONTAS A PAGAR CREDORES NACIONAIS015011320819634102000197</t>
  </si>
  <si>
    <t>213110400'= CONTAS A PAGAR CREDORES NACIONAIS015011320820795155000179</t>
  </si>
  <si>
    <t>213110400'= CONTAS A PAGAR CREDORES NACIONAIS015011320820873290000195</t>
  </si>
  <si>
    <t>213110400'= CONTAS A PAGAR CREDORES NACIONAIS015011320820922171000185</t>
  </si>
  <si>
    <t>213110400'= CONTAS A PAGAR CREDORES NACIONAIS015011320821000322000100</t>
  </si>
  <si>
    <t>213110400'= CONTAS A PAGAR CREDORES NACIONAIS015011320821577007000140</t>
  </si>
  <si>
    <t>213110400'= CONTAS A PAGAR CREDORES NACIONAIS015011320821948551000151</t>
  </si>
  <si>
    <t>213110400'= CONTAS A PAGAR CREDORES NACIONAIS015011320821993683000103</t>
  </si>
  <si>
    <t>213110400'= CONTAS A PAGAR CREDORES NACIONAIS015011320822166193001160</t>
  </si>
  <si>
    <t>213110400'= CONTAS A PAGAR CREDORES NACIONAIS015011320822261840000140</t>
  </si>
  <si>
    <t>213110400'= CONTAS A PAGAR CREDORES NACIONAIS015011320822581049000118</t>
  </si>
  <si>
    <t>213110400'= CONTAS A PAGAR CREDORES NACIONAIS015011320822704202000157</t>
  </si>
  <si>
    <t>213110400'= CONTAS A PAGAR CREDORES NACIONAIS015011320823880650000174</t>
  </si>
  <si>
    <t>213110400'= CONTAS A PAGAR CREDORES NACIONAIS015011320823886982000166</t>
  </si>
  <si>
    <t>213110400'= CONTAS A PAGAR CREDORES NACIONAIS015011320824239418000114</t>
  </si>
  <si>
    <t>213110400'= CONTAS A PAGAR CREDORES NACIONAIS015011320824868850000174</t>
  </si>
  <si>
    <t>213110400'= CONTAS A PAGAR CREDORES NACIONAIS015011320825197980000195</t>
  </si>
  <si>
    <t>213110400'= CONTAS A PAGAR CREDORES NACIONAIS015011320826423448000101</t>
  </si>
  <si>
    <t>213110400'= CONTAS A PAGAR CREDORES NACIONAIS015011320826481299000137</t>
  </si>
  <si>
    <t>213110400'= CONTAS A PAGAR CREDORES NACIONAIS015011320827518373000105</t>
  </si>
  <si>
    <t>213110400'= CONTAS A PAGAR CREDORES NACIONAIS015011320828360435000166</t>
  </si>
  <si>
    <t>213110400'= CONTAS A PAGAR CREDORES NACIONAIS015011320828383198000159</t>
  </si>
  <si>
    <t>213110400'= CONTAS A PAGAR CREDORES NACIONAIS015011320828389135000100</t>
  </si>
  <si>
    <t>213110400'= CONTAS A PAGAR CREDORES NACIONAIS015011320828633217000158</t>
  </si>
  <si>
    <t>213110400'= CONTAS A PAGAR CREDORES NACIONAIS015011320829590960000130</t>
  </si>
  <si>
    <t>213110400'= CONTAS A PAGAR CREDORES NACIONAIS015011320829617631000136</t>
  </si>
  <si>
    <t>213110400'= CONTAS A PAGAR CREDORES NACIONAIS015011320829760831000143</t>
  </si>
  <si>
    <t>213110400'= CONTAS A PAGAR CREDORES NACIONAIS015011320829782634000125</t>
  </si>
  <si>
    <t>213110400'= CONTAS A PAGAR CREDORES NACIONAIS015011320829912565000127</t>
  </si>
  <si>
    <t>213110400'= CONTAS A PAGAR CREDORES NACIONAIS015011320829935657000122</t>
  </si>
  <si>
    <t>213110400'= CONTAS A PAGAR CREDORES NACIONAIS015011320829999597000101</t>
  </si>
  <si>
    <t>213110400'= CONTAS A PAGAR CREDORES NACIONAIS015011320830020705000131</t>
  </si>
  <si>
    <t>213110400'= CONTAS A PAGAR CREDORES NACIONAIS015011320830194450000123</t>
  </si>
  <si>
    <t>213110400'= CONTAS A PAGAR CREDORES NACIONAIS015011320831352081000112</t>
  </si>
  <si>
    <t>213110400'= CONTAS A PAGAR CREDORES NACIONAIS015011320831645807000105</t>
  </si>
  <si>
    <t>213110400'= CONTAS A PAGAR CREDORES NACIONAIS015011320831699425000164</t>
  </si>
  <si>
    <t>213110400'= CONTAS A PAGAR CREDORES NACIONAIS015011320831888692000180</t>
  </si>
  <si>
    <t>213110400'= CONTAS A PAGAR CREDORES NACIONAIS015011320832173395000110</t>
  </si>
  <si>
    <t>213110400'= CONTAS A PAGAR CREDORES NACIONAIS015011320833345683000178</t>
  </si>
  <si>
    <t>213110400'= CONTAS A PAGAR CREDORES NACIONAIS015011320833352394000104</t>
  </si>
  <si>
    <t>213110400'= CONTAS A PAGAR CREDORES NACIONAIS015011320833439092000160</t>
  </si>
  <si>
    <t>213110400'= CONTAS A PAGAR CREDORES NACIONAIS015011320833480310000100</t>
  </si>
  <si>
    <t>213110400'= CONTAS A PAGAR CREDORES NACIONAIS015011320833480310000290</t>
  </si>
  <si>
    <t>213110400'= CONTAS A PAGAR CREDORES NACIONAIS015011320833575585000127</t>
  </si>
  <si>
    <t>213110400'= CONTAS A PAGAR CREDORES NACIONAIS015011320833845322002134</t>
  </si>
  <si>
    <t>213110400'= CONTAS A PAGAR CREDORES NACIONAIS015011320834028316000294</t>
  </si>
  <si>
    <t>213110400'= CONTAS A PAGAR CREDORES NACIONAIS015011320834154647000190</t>
  </si>
  <si>
    <t>213110400'= CONTAS A PAGAR CREDORES NACIONAIS015011320834370234000142</t>
  </si>
  <si>
    <t>213110400'= CONTAS A PAGAR CREDORES NACIONAIS015011320834638332000118</t>
  </si>
  <si>
    <t>213110400'= CONTAS A PAGAR CREDORES NACIONAIS015011320835717282000127</t>
  </si>
  <si>
    <t>213110400'= CONTAS A PAGAR CREDORES NACIONAIS015011320835794064000196</t>
  </si>
  <si>
    <t>213110400'= CONTAS A PAGAR CREDORES NACIONAIS015011320835820448000721</t>
  </si>
  <si>
    <t>213110400'= CONTAS A PAGAR CREDORES NACIONAIS015011320836364939000182</t>
  </si>
  <si>
    <t>213110400'= CONTAS A PAGAR CREDORES NACIONAIS015011320836924105000184</t>
  </si>
  <si>
    <t>213110400'= CONTAS A PAGAR CREDORES NACIONAIS015011320837180381000148</t>
  </si>
  <si>
    <t>213110400'= CONTAS A PAGAR CREDORES NACIONAIS015011320837681131000191</t>
  </si>
  <si>
    <t>213110400'= CONTAS A PAGAR CREDORES NACIONAIS015011320838297013000147</t>
  </si>
  <si>
    <t>213110400'= CONTAS A PAGAR CREDORES NACIONAIS015011320839545634000165</t>
  </si>
  <si>
    <t>213110400'= CONTAS A PAGAR CREDORES NACIONAIS015011320839685747000166</t>
  </si>
  <si>
    <t>213110400'= CONTAS A PAGAR CREDORES NACIONAIS015011320840282584000150</t>
  </si>
  <si>
    <t>213110400'= CONTAS A PAGAR CREDORES NACIONAIS015011320842168526000125</t>
  </si>
  <si>
    <t>213110400'= CONTAS A PAGAR CREDORES NACIONAIS015011320842256057000104</t>
  </si>
  <si>
    <t>213110400'= CONTAS A PAGAR CREDORES NACIONAIS015011320842266122000174</t>
  </si>
  <si>
    <t>213110400'= CONTAS A PAGAR CREDORES NACIONAIS015011320842283770000139</t>
  </si>
  <si>
    <t>213110400'= CONTAS A PAGAR CREDORES NACIONAIS015011320842292007000174</t>
  </si>
  <si>
    <t>213110400'= CONTAS A PAGAR CREDORES NACIONAIS015011320842561167000171</t>
  </si>
  <si>
    <t>213110400'= CONTAS A PAGAR CREDORES NACIONAIS015011320842955259000136</t>
  </si>
  <si>
    <t>213110400'= CONTAS A PAGAR CREDORES NACIONAIS015011320843175722000190</t>
  </si>
  <si>
    <t>213110400'= CONTAS A PAGAR CREDORES NACIONAIS015011320843843358000512</t>
  </si>
  <si>
    <t>213110400'= CONTAS A PAGAR CREDORES NACIONAIS015011320844361938000102</t>
  </si>
  <si>
    <t>213110400'= CONTAS A PAGAR CREDORES NACIONAIS015011320844600607000188</t>
  </si>
  <si>
    <t>213110400'= CONTAS A PAGAR CREDORES NACIONAIS015011320846033832000105</t>
  </si>
  <si>
    <t>213110400'= CONTAS A PAGAR CREDORES NACIONAIS015011320846044053004607</t>
  </si>
  <si>
    <t>213110400'= CONTAS A PAGAR CREDORES NACIONAIS015011320846390209000100</t>
  </si>
  <si>
    <t>213110400'= CONTAS A PAGAR CREDORES NACIONAIS015011320846555033000107</t>
  </si>
  <si>
    <t>213110400'= CONTAS A PAGAR CREDORES NACIONAIS015011320850258623000137</t>
  </si>
  <si>
    <t>213110400'= CONTAS A PAGAR CREDORES NACIONAIS015011320850400407000184</t>
  </si>
  <si>
    <t>213110400'= CONTAS A PAGAR CREDORES NACIONAIS015011320850892934000153</t>
  </si>
  <si>
    <t>213110400'= CONTAS A PAGAR CREDORES NACIONAIS015011320851733129000140</t>
  </si>
  <si>
    <t>213110400'= CONTAS A PAGAR CREDORES NACIONAIS015011320853273215000142</t>
  </si>
  <si>
    <t>213110400'= CONTAS A PAGAR CREDORES NACIONAIS015011320853910899000146</t>
  </si>
  <si>
    <t>213110400'= CONTAS A PAGAR CREDORES NACIONAIS015011320855616429000108</t>
  </si>
  <si>
    <t>213110400'= CONTAS A PAGAR CREDORES NACIONAIS015011320858890252000113</t>
  </si>
  <si>
    <t>213110400'= CONTAS A PAGAR CREDORES NACIONAIS015011320860444437000146</t>
  </si>
  <si>
    <t>213110400'= CONTAS A PAGAR CREDORES NACIONAIS015011320860592771000147</t>
  </si>
  <si>
    <t>213110400'= CONTAS A PAGAR CREDORES NACIONAIS015011320860886413012820</t>
  </si>
  <si>
    <t>213110400'= CONTAS A PAGAR CREDORES NACIONAIS015011320860954161000146</t>
  </si>
  <si>
    <t>213110400'= CONTAS A PAGAR CREDORES NACIONAIS015011320861055661000109</t>
  </si>
  <si>
    <t>213110400'= CONTAS A PAGAR CREDORES NACIONAIS015011320861067906000118</t>
  </si>
  <si>
    <t>213110400'= CONTAS A PAGAR CREDORES NACIONAIS015011320861074829001103</t>
  </si>
  <si>
    <t>213110400'= CONTAS A PAGAR CREDORES NACIONAIS015011320861198164000160</t>
  </si>
  <si>
    <t>213110400'= CONTAS A PAGAR CREDORES NACIONAIS015011320861479002000108</t>
  </si>
  <si>
    <t>213110400'= CONTAS A PAGAR CREDORES NACIONAIS015011320863034847000107</t>
  </si>
  <si>
    <t>213110400'= CONTAS A PAGAR CREDORES NACIONAIS015011320866018441000129</t>
  </si>
  <si>
    <t>213110400'= CONTAS A PAGAR CREDORES NACIONAIS015011320867827568000151</t>
  </si>
  <si>
    <t>213110400'= CONTAS A PAGAR CREDORES NACIONAIS015011320868672450000164</t>
  </si>
  <si>
    <t>213110400'= CONTAS A PAGAR CREDORES NACIONAIS015011320869113322000143</t>
  </si>
  <si>
    <t>213110400'= CONTAS A PAGAR CREDORES NACIONAIS015011320872734791000194</t>
  </si>
  <si>
    <t>213110400'= CONTAS A PAGAR CREDORES NACIONAIS015011320873873002000169</t>
  </si>
  <si>
    <t>213110400'= CONTAS A PAGAR CREDORES NACIONAIS015011320876535764000143</t>
  </si>
  <si>
    <t>213110400'= CONTAS A PAGAR CREDORES NACIONAIS015011320877964484000113</t>
  </si>
  <si>
    <t>213110400'= CONTAS A PAGAR CREDORES NACIONAIS015011320884822683000152</t>
  </si>
  <si>
    <t>213110400'= CONTAS A PAGAR CREDORES NACIONAIS015011320892538750000130</t>
  </si>
  <si>
    <t>213110400'= CONTAS A PAGAR CREDORES NACIONAIS0150113208PF9999902</t>
  </si>
  <si>
    <t>213110400'= CONTAS A PAGAR CREDORES NACIONAIS015100000000000000000191</t>
  </si>
  <si>
    <t>213110400'= CONTAS A PAGAR CREDORES NACIONAIS015100000003851171002085</t>
  </si>
  <si>
    <t>213110400'= CONTAS A PAGAR CREDORES NACIONAIS015100000008916265000146</t>
  </si>
  <si>
    <t>213110400'= CONTAS A PAGAR CREDORES NACIONAIS015100000014950590000128</t>
  </si>
  <si>
    <t>213110400'= CONTAS A PAGAR CREDORES NACIONAIS015100000031027527000133</t>
  </si>
  <si>
    <t>213110400'= CONTAS A PAGAR CREDORES NACIONAIS015100000033806148000177</t>
  </si>
  <si>
    <t>213110400'= CONTAS A PAGAR CREDORES NACIONAIS015100000073193211000161</t>
  </si>
  <si>
    <t>213110400'= CONTAS A PAGAR CREDORES NACIONAIS0151000000PF9999901</t>
  </si>
  <si>
    <t>213110400'= CONTAS A PAGAR CREDORES NACIONAIS0151000000PF9999902</t>
  </si>
  <si>
    <t>213110400'= CONTAS A PAGAR CREDORES NACIONAIS01762710000111</t>
  </si>
  <si>
    <t>213110400'= CONTAS A PAGAR CREDORES NACIONAIS018800000000000000000191</t>
  </si>
  <si>
    <t>213110400'= CONTAS A PAGAR CREDORES NACIONAIS018800000003851171002085</t>
  </si>
  <si>
    <t>213110400'= CONTAS A PAGAR CREDORES NACIONAIS018800000004100795000160</t>
  </si>
  <si>
    <t>213110400'= CONTAS A PAGAR CREDORES NACIONAIS018800000007969711000118</t>
  </si>
  <si>
    <t>213110400'= CONTAS A PAGAR CREDORES NACIONAIS018800000008916265000146</t>
  </si>
  <si>
    <t>213110400'= CONTAS A PAGAR CREDORES NACIONAIS018800000009632388000118</t>
  </si>
  <si>
    <t>213110400'= CONTAS A PAGAR CREDORES NACIONAIS018800000013336262000173</t>
  </si>
  <si>
    <t>213110400'= CONTAS A PAGAR CREDORES NACIONAIS018800000014950590000128</t>
  </si>
  <si>
    <t>213110400'= CONTAS A PAGAR CREDORES NACIONAIS018800000031027527000133</t>
  </si>
  <si>
    <t>213110400'= CONTAS A PAGAR CREDORES NACIONAIS018800000033337007000152</t>
  </si>
  <si>
    <t>213110400'= CONTAS A PAGAR CREDORES NACIONAIS018800000033806148000177</t>
  </si>
  <si>
    <t>213110400'= CONTAS A PAGAR CREDORES NACIONAIS018800000073193211000161</t>
  </si>
  <si>
    <t>213110400'= CONTAS A PAGAR CREDORES NACIONAIS0188000000PF9999901</t>
  </si>
  <si>
    <t>213110400'= CONTAS A PAGAR CREDORES NACIONAIS0188000000PF9999902</t>
  </si>
  <si>
    <t>213110400'= CONTAS A PAGAR CREDORES NACIONAIS0188000000PF9999998</t>
  </si>
  <si>
    <t>213110400'= CONTAS A PAGAR CREDORES NACIONAIS02182621000169</t>
  </si>
  <si>
    <t>213110400'= CONTAS A PAGAR CREDORES NACIONAIS02288055000174</t>
  </si>
  <si>
    <t>213110400'= CONTAS A PAGAR CREDORES NACIONAIS025011320800000000000191</t>
  </si>
  <si>
    <t>213110400'= CONTAS A PAGAR CREDORES NACIONAIS025011320800185997000100</t>
  </si>
  <si>
    <t>213110400'= CONTAS A PAGAR CREDORES NACIONAIS025011320800277106000137</t>
  </si>
  <si>
    <t>213110400'= CONTAS A PAGAR CREDORES NACIONAIS025011320801117975000167</t>
  </si>
  <si>
    <t>213110400'= CONTAS A PAGAR CREDORES NACIONAIS025011320802182621000169</t>
  </si>
  <si>
    <t>213110400'= CONTAS A PAGAR CREDORES NACIONAIS025011320803279285000130</t>
  </si>
  <si>
    <t>213110400'= CONTAS A PAGAR CREDORES NACIONAIS025011320803532163000294</t>
  </si>
  <si>
    <t>213110400'= CONTAS A PAGAR CREDORES NACIONAIS025011320803773700008353</t>
  </si>
  <si>
    <t>213110400'= CONTAS A PAGAR CREDORES NACIONAIS025011320805340639000130</t>
  </si>
  <si>
    <t>213110400'= CONTAS A PAGAR CREDORES NACIONAIS025011320805922013000131</t>
  </si>
  <si>
    <t>213110400'= CONTAS A PAGAR CREDORES NACIONAIS025011320805925426000170</t>
  </si>
  <si>
    <t>213110400'= CONTAS A PAGAR CREDORES NACIONAIS025011320807358761001645</t>
  </si>
  <si>
    <t>213110400'= CONTAS A PAGAR CREDORES NACIONAIS025011320808101451000127</t>
  </si>
  <si>
    <t>213110400'= CONTAS A PAGAR CREDORES NACIONAIS025011320811114572000118</t>
  </si>
  <si>
    <t>213110400'= CONTAS A PAGAR CREDORES NACIONAIS025011320811117193000181</t>
  </si>
  <si>
    <t>213110400'= CONTAS A PAGAR CREDORES NACIONAIS025011320811903685000100</t>
  </si>
  <si>
    <t>213110400'= CONTAS A PAGAR CREDORES NACIONAIS025011320817474484000103</t>
  </si>
  <si>
    <t>213110400'= CONTAS A PAGAR CREDORES NACIONAIS025011320817643102000128</t>
  </si>
  <si>
    <t>213110400'= CONTAS A PAGAR CREDORES NACIONAIS025011320829799921001039</t>
  </si>
  <si>
    <t>213110400'= CONTAS A PAGAR CREDORES NACIONAIS025011320830026710000151</t>
  </si>
  <si>
    <t>213110400'= CONTAS A PAGAR CREDORES NACIONAIS025011320831563034000118</t>
  </si>
  <si>
    <t>213110400'= CONTAS A PAGAR CREDORES NACIONAIS025011320831978612000187</t>
  </si>
  <si>
    <t>213110400'= CONTAS A PAGAR CREDORES NACIONAIS025011320833182809007143</t>
  </si>
  <si>
    <t>213110400'= CONTAS A PAGAR CREDORES NACIONAIS025011320840282584000150</t>
  </si>
  <si>
    <t>213110400'= CONTAS A PAGAR CREDORES NACIONAIS025011320844673184000398</t>
  </si>
  <si>
    <t>213110400'= CONTAS A PAGAR CREDORES NACIONAIS025011320846390209000100</t>
  </si>
  <si>
    <t>213110400'= CONTAS A PAGAR CREDORES NACIONAIS025011320852640646000137</t>
  </si>
  <si>
    <t>213110400'= CONTAS A PAGAR CREDORES NACIONAIS025011320859618207000177</t>
  </si>
  <si>
    <t>213110400'= CONTAS A PAGAR CREDORES NACIONAIS025011320860444437000146</t>
  </si>
  <si>
    <t>213110400'= CONTAS A PAGAR CREDORES NACIONAIS025011320860452752000115</t>
  </si>
  <si>
    <t>213110400'= CONTAS A PAGAR CREDORES NACIONAIS025011320861793691000112</t>
  </si>
  <si>
    <t>213110400'= CONTAS A PAGAR CREDORES NACIONAIS025011320862458088002867</t>
  </si>
  <si>
    <t>213110400'= CONTAS A PAGAR CREDORES NACIONAIS025011320862877808000109</t>
  </si>
  <si>
    <t>213110400'= CONTAS A PAGAR CREDORES NACIONAIS025011320869275337000108</t>
  </si>
  <si>
    <t>213110400'= CONTAS A PAGAR CREDORES NACIONAIS025011320892690700000173</t>
  </si>
  <si>
    <t>213110400'= CONTAS A PAGAR CREDORES NACIONAIS030000000000000000000191</t>
  </si>
  <si>
    <t>213110400'= CONTAS A PAGAR CREDORES NACIONAIS030000000072734791000194</t>
  </si>
  <si>
    <t>213110400'= CONTAS A PAGAR CREDORES NACIONAIS03848688003259</t>
  </si>
  <si>
    <t>213110400'= CONTAS A PAGAR CREDORES NACIONAIS05152318000101</t>
  </si>
  <si>
    <t>213110400'= CONTAS A PAGAR CREDORES NACIONAIS05234289000127</t>
  </si>
  <si>
    <t>213110400'= CONTAS A PAGAR CREDORES NACIONAIS065011320800000000000191</t>
  </si>
  <si>
    <t>213110400'= CONTAS A PAGAR CREDORES NACIONAIS065011320807358761001645</t>
  </si>
  <si>
    <t>213110400'= CONTAS A PAGAR CREDORES NACIONAIS065011320810768965000182</t>
  </si>
  <si>
    <t>213110400'= CONTAS A PAGAR CREDORES NACIONAIS065011320833352394000104</t>
  </si>
  <si>
    <t>213110400'= CONTAS A PAGAR CREDORES NACIONAIS07969711000118</t>
  </si>
  <si>
    <t>213110400'= CONTAS A PAGAR CREDORES NACIONAIS10213136000133</t>
  </si>
  <si>
    <t>213110400'= CONTAS A PAGAR CREDORES NACIONAIS10768965000182</t>
  </si>
  <si>
    <t>213110400'= CONTAS A PAGAR CREDORES NACIONAIS15827138711</t>
  </si>
  <si>
    <t>213110400'= CONTAS A PAGAR CREDORES NACIONAIS17474484000103</t>
  </si>
  <si>
    <t>213110400'= CONTAS A PAGAR CREDORES NACIONAIS17486031752</t>
  </si>
  <si>
    <t>213110400'= CONTAS A PAGAR CREDORES NACIONAIS21948551000151</t>
  </si>
  <si>
    <t>213110400'= CONTAS A PAGAR CREDORES NACIONAIS29799921001039</t>
  </si>
  <si>
    <t>213110400'= CONTAS A PAGAR CREDORES NACIONAIS29912565000127</t>
  </si>
  <si>
    <t>213110400'= CONTAS A PAGAR CREDORES NACIONAIS31563034000118</t>
  </si>
  <si>
    <t>213110400'= CONTAS A PAGAR CREDORES NACIONAIS36462778000160</t>
  </si>
  <si>
    <t>213110400'= CONTAS A PAGAR CREDORES NACIONAIS44673184000398</t>
  </si>
  <si>
    <t>213110400'= CONTAS A PAGAR CREDORES NACIONAIS50400407000184</t>
  </si>
  <si>
    <t>213110400'= CONTAS A PAGAR CREDORES NACIONAIS72734791000194</t>
  </si>
  <si>
    <t>213110400'= CONTAS A PAGAR CREDORES NACIONAIS92690700000173</t>
  </si>
  <si>
    <t>213110400'= CONTAS A PAGAR CREDORES NACIONAIS93969707000191</t>
  </si>
  <si>
    <t>213110400'= CONTAS A PAGAR CREDORES NACIONAISPF9999901</t>
  </si>
  <si>
    <t>213110400'= CONTAS A PAGAR CREDORES NACIONAISPF9999902</t>
  </si>
  <si>
    <t>213110400'= CONTAS A PAGAR CREDORES NACIONAISPF9999905</t>
  </si>
  <si>
    <t>213110400'= CONTAS A PAGAR CREDORES NACIONAISPF9999922</t>
  </si>
  <si>
    <t>213110400'= CONTAS A PAGAR CREDORES NACIONAISPF9999998</t>
  </si>
  <si>
    <t>213120400'= CONTAS A PAGAR CREDORES NACIONAIS -INTRA OFSS0100000000113202</t>
  </si>
  <si>
    <t>213120400'= CONTAS A PAGAR CREDORES NACIONAIS -INTRA OFSS0100000000115406</t>
  </si>
  <si>
    <t>213120400'= CONTAS A PAGAR CREDORES NACIONAIS -INTRA OFSS0100000000PF9999922</t>
  </si>
  <si>
    <t>213120400'= CONTAS A PAGAR CREDORES NACIONAIS -INTRA OFSS0150113208113202</t>
  </si>
  <si>
    <t>213120400'= CONTAS A PAGAR CREDORES NACIONAIS -INTRA OFSS0150113208115406</t>
  </si>
  <si>
    <t>213120400'= CONTAS A PAGAR CREDORES NACIONAIS -INTRA OFSS015011320860444437000146</t>
  </si>
  <si>
    <t>213140400'= CONTAS A PAGAR CREDORES NACIONAIS -INTER EST010000000076535764000143</t>
  </si>
  <si>
    <t>213210400'= CONTAS A PAGAR - CREDORES ESTRANGEIROS010000000000000000000191</t>
  </si>
  <si>
    <t>214110200'= IRPJ A RECOLHER0100000000</t>
  </si>
  <si>
    <t>214110200'= IRPJ A RECOLHER0150113208</t>
  </si>
  <si>
    <t>214110500'= IOF A RECOLHER0100000000</t>
  </si>
  <si>
    <t>214110500'= IOF A RECOLHER0150113208</t>
  </si>
  <si>
    <t>214111401'= TAXA DE FISCALIZACAO OU DE PODER DE POLICIA0100000000</t>
  </si>
  <si>
    <t>214111401'= TAXA DE FISCALIZACAO OU DE PODER DE POLICIA0150113208</t>
  </si>
  <si>
    <t>214111401'= TAXA DE FISCALIZACAO OU DE PODER DE POLICIA0250113208</t>
  </si>
  <si>
    <t>214111402'= TAXA PELA PRESTACAO DE SERVICOS0100000000</t>
  </si>
  <si>
    <t>214111402'= TAXA PELA PRESTACAO DE SERVICOS0150113208</t>
  </si>
  <si>
    <t>214120900'= CSSL A RECOLHER - INTRA OFSS0100000000</t>
  </si>
  <si>
    <t>214120900'= CSSL A RECOLHER - INTRA OFSS0150113208</t>
  </si>
  <si>
    <t>214121402'= TAXA PELA PRESTACAO DE SERVICOS0151000000</t>
  </si>
  <si>
    <t>214121402'= TAXA PELA PRESTACAO DE SERVICOS0188000000</t>
  </si>
  <si>
    <t>214210600'= TAXA DE LICENCIAMENTO ANUAL DE VEICULOS0100000000</t>
  </si>
  <si>
    <t>215210000'= TRANSF LEGAIS A PAGAR - CONSOLIDACAO015011320828015170000169</t>
  </si>
  <si>
    <t>218110000'= ADIANTAMENTOS DE CLIENTES - CONSOLIDACAOCL7892000</t>
  </si>
  <si>
    <t>218810102'= RETENCAO PREVIDENCIARIA - FRGPS0100000000</t>
  </si>
  <si>
    <t>218810102'= RETENCAO PREVIDENCIARIA - FRGPS0150113208</t>
  </si>
  <si>
    <t>218810102'= RETENCAO PREVIDENCIARIA - FRGPS0151000000</t>
  </si>
  <si>
    <t>218810102'= RETENCAO PREVIDENCIARIA - FRGPS0188000000</t>
  </si>
  <si>
    <t>218810102'= RETENCAO PREVIDENCIARIA - FRGPS0250113208</t>
  </si>
  <si>
    <t>218810104'= IRRF DEVIDO AO TESOURO NACIONAL010000000000000000000191</t>
  </si>
  <si>
    <t>218810104'= IRRF DEVIDO AO TESOURO NACIONAL010000000090762410744</t>
  </si>
  <si>
    <t>218810104'= IRRF DEVIDO AO TESOURO NACIONAL0100000000PF9999905</t>
  </si>
  <si>
    <t>218810104'= IRRF DEVIDO AO TESOURO NACIONAL015011320800000000000191</t>
  </si>
  <si>
    <t>218810104'= IRRF DEVIDO AO TESOURO NACIONAL0151000000PF9999901</t>
  </si>
  <si>
    <t>218810104'= IRRF DEVIDO AO TESOURO NACIONAL0188000000PF9999901</t>
  </si>
  <si>
    <t>218810106'= IMPOSTOS E CONTRIB DIVERSOS DEVIDOS AO TESOUR0100000000</t>
  </si>
  <si>
    <t>218810106'= IMPOSTOS E CONTRIB DIVERSOS DEVIDOS AO TESOUR0144000000</t>
  </si>
  <si>
    <t>218810106'= IMPOSTOS E CONTRIB DIVERSOS DEVIDOS AO TESOUR0150113208</t>
  </si>
  <si>
    <t>218810106'= IMPOSTOS E CONTRIB DIVERSOS DEVIDOS AO TESOUR0151000000</t>
  </si>
  <si>
    <t>218810106'= IMPOSTOS E CONTRIB DIVERSOS DEVIDOS AO TESOUR0188000000</t>
  </si>
  <si>
    <t>218810106'= IMPOSTOS E CONTRIB DIVERSOS DEVIDOS AO TESOUR0250113208</t>
  </si>
  <si>
    <t>218810106'= IMPOSTOS E CONTRIB DIVERSOS DEVIDOS AO TESOUR0650113208</t>
  </si>
  <si>
    <t>218810108'= ICMS0100000000</t>
  </si>
  <si>
    <t>218810108'= ICMS0150113208</t>
  </si>
  <si>
    <t>218810109'= ISS0100000000</t>
  </si>
  <si>
    <t>218810109'= ISS0150113208</t>
  </si>
  <si>
    <t>218810109'= ISS0650113208</t>
  </si>
  <si>
    <t>218810114'= PENSAO ALIMENTICIA010000000000000000000191</t>
  </si>
  <si>
    <t>218810114'= PENSAO ALIMENTICIA010000000001235805794</t>
  </si>
  <si>
    <t>218810114'= PENSAO ALIMENTICIA010000000001410813762</t>
  </si>
  <si>
    <t>218810114'= PENSAO ALIMENTICIA010000000003869258799</t>
  </si>
  <si>
    <t>218810114'= PENSAO ALIMENTICIA010000000005683869730</t>
  </si>
  <si>
    <t>218810114'= PENSAO ALIMENTICIA010000000007667684731</t>
  </si>
  <si>
    <t>218810114'= PENSAO ALIMENTICIA010000000010507333713</t>
  </si>
  <si>
    <t>218810114'= PENSAO ALIMENTICIA010000000011954826710</t>
  </si>
  <si>
    <t>218810114'= PENSAO ALIMENTICIA010000000013392969770</t>
  </si>
  <si>
    <t>218810114'= PENSAO ALIMENTICIA010000000015335179759</t>
  </si>
  <si>
    <t>218810114'= PENSAO ALIMENTICIA018800000000000000000191</t>
  </si>
  <si>
    <t>218810114'= PENSAO ALIMENTICIA018800000013392969770</t>
  </si>
  <si>
    <t>218810114'= PENSAO ALIMENTICIA018800000015335179759</t>
  </si>
  <si>
    <t>218810117'= RETENCOES-ENTIDADES REPRESENTATIVAS DE CLASSE010000000027216340000100</t>
  </si>
  <si>
    <t>218810117'= RETENCOES-ENTIDADES REPRESENTATIVAS DE CLASSE010000000030022727000130</t>
  </si>
  <si>
    <t>218810117'= RETENCOES-ENTIDADES REPRESENTATIVAS DE CLASSE018800000027216340000100</t>
  </si>
  <si>
    <t>218810117'= RETENCOES-ENTIDADES REPRESENTATIVAS DE CLASSE018800000030022727000130</t>
  </si>
  <si>
    <t>218810118'= RETENCOES - SINDICATOS010000000000000000000191</t>
  </si>
  <si>
    <t>218810118'= RETENCOES - SINDICATOS018800000000000000000191</t>
  </si>
  <si>
    <t>218810121'= RETENCOES - PLANOS DE SEGUROS010000000000000000000191</t>
  </si>
  <si>
    <t>218810121'= RETENCOES - PLANOS DE SEGUROS018800000000000000000191</t>
  </si>
  <si>
    <t>218810122'= RETENCOES - EMPRESTIMOS E FINANCIAMENTOS010000000000000000000191</t>
  </si>
  <si>
    <t>218810122'= RETENCOES - EMPRESTIMOS E FINANCIAMENTOS010000000000360305000104</t>
  </si>
  <si>
    <t>218810122'= RETENCOES - EMPRESTIMOS E FINANCIAMENTOS010000000030022727000130</t>
  </si>
  <si>
    <t>218810122'= RETENCOES - EMPRESTIMOS E FINANCIAMENTOS0100000000RB0038166</t>
  </si>
  <si>
    <t>218810122'= RETENCOES - EMPRESTIMOS E FINANCIAMENTOS018800000000000000000191</t>
  </si>
  <si>
    <t>218810122'= RETENCOES - EMPRESTIMOS E FINANCIAMENTOS018800000030022727000130</t>
  </si>
  <si>
    <t>218810122'= RETENCOES - EMPRESTIMOS E FINANCIAMENTOS0188000000RB0038166</t>
  </si>
  <si>
    <t>218810126'= SERVICOS DE PROCESSAMENTO DE DADOS0100000000PF9999905</t>
  </si>
  <si>
    <t>218810126'= SERVICOS DE PROCESSAMENTO DE DADOS0188000000PF9999905</t>
  </si>
  <si>
    <t>218810128'= DEPOSITOS RETIDOS DE FORNECEDORES010000000000000000000191</t>
  </si>
  <si>
    <t>218810128'= DEPOSITOS RETIDOS DE FORNECEDORES010000000003276273000151</t>
  </si>
  <si>
    <t>218810128'= DEPOSITOS RETIDOS DE FORNECEDORES010000000003279285000130</t>
  </si>
  <si>
    <t>218810128'= DEPOSITOS RETIDOS DE FORNECEDORES010000000003750757000190</t>
  </si>
  <si>
    <t>218810128'= DEPOSITOS RETIDOS DE FORNECEDORES010000000003851171002247</t>
  </si>
  <si>
    <t>218810128'= DEPOSITOS RETIDOS DE FORNECEDORES010000000005234289000127</t>
  </si>
  <si>
    <t>218810128'= DEPOSITOS RETIDOS DE FORNECEDORES010000000007710046000143</t>
  </si>
  <si>
    <t>218810128'= DEPOSITOS RETIDOS DE FORNECEDORES010000000010213136000133</t>
  </si>
  <si>
    <t>218810128'= DEPOSITOS RETIDOS DE FORNECEDORES010000000010421996000162</t>
  </si>
  <si>
    <t>218810128'= DEPOSITOS RETIDOS DE FORNECEDORES010000000016727386000178</t>
  </si>
  <si>
    <t>218810128'= DEPOSITOS RETIDOS DE FORNECEDORES010000000021948551000151</t>
  </si>
  <si>
    <t>218810128'= DEPOSITOS RETIDOS DE FORNECEDORES010000000034163329000195</t>
  </si>
  <si>
    <t>218810128'= DEPOSITOS RETIDOS DE FORNECEDORES010000000040282584000150</t>
  </si>
  <si>
    <t>218810128'= DEPOSITOS RETIDOS DE FORNECEDORES010000000050400407000184</t>
  </si>
  <si>
    <t>218810128'= DEPOSITOS RETIDOS DE FORNECEDORES010000000072368012000184</t>
  </si>
  <si>
    <t>218810128'= DEPOSITOS RETIDOS DE FORNECEDORES014400000005152318000101</t>
  </si>
  <si>
    <t>218810128'= DEPOSITOS RETIDOS DE FORNECEDORES015011320803279285000130</t>
  </si>
  <si>
    <t>218810128'= DEPOSITOS RETIDOS DE FORNECEDORES015011320803750757000190</t>
  </si>
  <si>
    <t>218810128'= DEPOSITOS RETIDOS DE FORNECEDORES015011320805152318000101</t>
  </si>
  <si>
    <t>218810128'= DEPOSITOS RETIDOS DE FORNECEDORES015011320805234289000127</t>
  </si>
  <si>
    <t>218810128'= DEPOSITOS RETIDOS DE FORNECEDORES015011320807710046000143</t>
  </si>
  <si>
    <t>218810128'= DEPOSITOS RETIDOS DE FORNECEDORES015011320810213136000133</t>
  </si>
  <si>
    <t>218810128'= DEPOSITOS RETIDOS DE FORNECEDORES015011320814950590000128</t>
  </si>
  <si>
    <t>218810128'= DEPOSITOS RETIDOS DE FORNECEDORES015011320821948551000151</t>
  </si>
  <si>
    <t>218810128'= DEPOSITOS RETIDOS DE FORNECEDORES015011320840282584000150</t>
  </si>
  <si>
    <t>218810128'= DEPOSITOS RETIDOS DE FORNECEDORES015011320850400407000184</t>
  </si>
  <si>
    <t>218810128'= DEPOSITOS RETIDOS DE FORNECEDORES015100000014950590000128</t>
  </si>
  <si>
    <t>218810128'= DEPOSITOS RETIDOS DE FORNECEDORES018800000014950590000128</t>
  </si>
  <si>
    <t>218810128'= DEPOSITOS RETIDOS DE FORNECEDORES0188000000PF9999901</t>
  </si>
  <si>
    <t>218810128'= DEPOSITOS RETIDOS DE FORNECEDORES025011320803279285000130</t>
  </si>
  <si>
    <t>218810128'= DEPOSITOS RETIDOS DE FORNECEDORES025011320807451929000186</t>
  </si>
  <si>
    <t>218810128'= DEPOSITOS RETIDOS DE FORNECEDORES025011320810213136000133</t>
  </si>
  <si>
    <t>218810128'= DEPOSITOS RETIDOS DE FORNECEDORES025011320811451053000145</t>
  </si>
  <si>
    <t>218810128'= DEPOSITOS RETIDOS DE FORNECEDORES025011320840282584000150</t>
  </si>
  <si>
    <t>218810129'= DEPOSITOS RETIDOS PESSOAL/BENEFICIO A PAGAR010000000000000000000191</t>
  </si>
  <si>
    <t>218810129'= DEPOSITOS RETIDOS PESSOAL/BENEFICIO A PAGAR010000000003248864702</t>
  </si>
  <si>
    <t>218810129'= DEPOSITOS RETIDOS PESSOAL/BENEFICIO A PAGAR010000000003365364706</t>
  </si>
  <si>
    <t>218810129'= DEPOSITOS RETIDOS PESSOAL/BENEFICIO A PAGAR010000000003737504717</t>
  </si>
  <si>
    <t>218810129'= DEPOSITOS RETIDOS PESSOAL/BENEFICIO A PAGAR010000000003810722740</t>
  </si>
  <si>
    <t>218810129'= DEPOSITOS RETIDOS PESSOAL/BENEFICIO A PAGAR010000000003848688001043</t>
  </si>
  <si>
    <t>218810129'= DEPOSITOS RETIDOS PESSOAL/BENEFICIO A PAGAR010000000003848688001639</t>
  </si>
  <si>
    <t>218810129'= DEPOSITOS RETIDOS PESSOAL/BENEFICIO A PAGAR010000000003848688001981</t>
  </si>
  <si>
    <t>218810129'= DEPOSITOS RETIDOS PESSOAL/BENEFICIO A PAGAR010000000003851171000112</t>
  </si>
  <si>
    <t>218810129'= DEPOSITOS RETIDOS PESSOAL/BENEFICIO A PAGAR010000000003851171002247</t>
  </si>
  <si>
    <t>218810129'= DEPOSITOS RETIDOS PESSOAL/BENEFICIO A PAGAR010000000007226362708</t>
  </si>
  <si>
    <t>218810129'= DEPOSITOS RETIDOS PESSOAL/BENEFICIO A PAGAR010000000007788307726</t>
  </si>
  <si>
    <t>218810129'= DEPOSITOS RETIDOS PESSOAL/BENEFICIO A PAGAR010000000013392853712</t>
  </si>
  <si>
    <t>218810129'= DEPOSITOS RETIDOS PESSOAL/BENEFICIO A PAGAR010000000014058830735</t>
  </si>
  <si>
    <t>218810129'= DEPOSITOS RETIDOS PESSOAL/BENEFICIO A PAGAR010000000014182607708</t>
  </si>
  <si>
    <t>218810129'= DEPOSITOS RETIDOS PESSOAL/BENEFICIO A PAGAR010000000023878660000175</t>
  </si>
  <si>
    <t>218810129'= DEPOSITOS RETIDOS PESSOAL/BENEFICIO A PAGAR010000000036026560000162</t>
  </si>
  <si>
    <t>218810129'= DEPOSITOS RETIDOS PESSOAL/BENEFICIO A PAGAR010000000042970433000110</t>
  </si>
  <si>
    <t>218810129'= DEPOSITOS RETIDOS PESSOAL/BENEFICIO A PAGAR010000000055576706000198</t>
  </si>
  <si>
    <t>218810129'= DEPOSITOS RETIDOS PESSOAL/BENEFICIO A PAGAR010000000098185756791</t>
  </si>
  <si>
    <t>218810129'= DEPOSITOS RETIDOS PESSOAL/BENEFICIO A PAGAR0100000000PF9999905</t>
  </si>
  <si>
    <t>218810129'= DEPOSITOS RETIDOS PESSOAL/BENEFICIO A PAGAR018800000000000000000191</t>
  </si>
  <si>
    <t>218810301'= DEPOSITOS A EFETUAR POR DETERMINACAO JUDICIAL0100000000</t>
  </si>
  <si>
    <t>218810303'= DEPOSITOS A EFETUAR PARA RECURSOS JUDICIAIS0100000000</t>
  </si>
  <si>
    <t>218810411'= DEPOSITOS DE ENTIDADES010000000003848688001981</t>
  </si>
  <si>
    <t>218810447'= DEPOSITOS POR DEVOLUCAO DE VALORES NAO RECLAM019000000000000000000191</t>
  </si>
  <si>
    <t>218810447'= DEPOSITOS POR DEVOLUCAO DE VALORES NAO RECLAM019000000000056295000118</t>
  </si>
  <si>
    <t>218810447'= DEPOSITOS POR DEVOLUCAO DE VALORES NAO RECLAM019000000000196510000186</t>
  </si>
  <si>
    <t>218810447'= DEPOSITOS POR DEVOLUCAO DE VALORES NAO RECLAM019000000002099285000195</t>
  </si>
  <si>
    <t>218810447'= DEPOSITOS POR DEVOLUCAO DE VALORES NAO RECLAM019000000004063080000185</t>
  </si>
  <si>
    <t>218810447'= DEPOSITOS POR DEVOLUCAO DE VALORES NAO RECLAM019000000005683656000170</t>
  </si>
  <si>
    <t>218810447'= DEPOSITOS POR DEVOLUCAO DE VALORES NAO RECLAM019000000005875613785</t>
  </si>
  <si>
    <t>218810447'= DEPOSITOS POR DEVOLUCAO DE VALORES NAO RECLAM019000000006023461000166</t>
  </si>
  <si>
    <t>218810447'= DEPOSITOS POR DEVOLUCAO DE VALORES NAO RECLAM019000000008959183000189</t>
  </si>
  <si>
    <t>218810447'= DEPOSITOS POR DEVOLUCAO DE VALORES NAO RECLAM019000000009219138000584</t>
  </si>
  <si>
    <t>218810447'= DEPOSITOS POR DEVOLUCAO DE VALORES NAO RECLAM019000000011111975710</t>
  </si>
  <si>
    <t>218810447'= DEPOSITOS POR DEVOLUCAO DE VALORES NAO RECLAM019000000013392969770</t>
  </si>
  <si>
    <t>218810447'= DEPOSITOS POR DEVOLUCAO DE VALORES NAO RECLAM019000000013752144700</t>
  </si>
  <si>
    <t>218810447'= DEPOSITOS POR DEVOLUCAO DE VALORES NAO RECLAM019000000014911352710</t>
  </si>
  <si>
    <t>218810447'= DEPOSITOS POR DEVOLUCAO DE VALORES NAO RECLAM019000000015565725739</t>
  </si>
  <si>
    <t>218810447'= DEPOSITOS POR DEVOLUCAO DE VALORES NAO RECLAM019000000018247010712</t>
  </si>
  <si>
    <t>218810447'= DEPOSITOS POR DEVOLUCAO DE VALORES NAO RECLAM019000000027195106000144</t>
  </si>
  <si>
    <t>218810447'= DEPOSITOS POR DEVOLUCAO DE VALORES NAO RECLAM019000000029617631000136</t>
  </si>
  <si>
    <t>218810447'= DEPOSITOS POR DEVOLUCAO DE VALORES NAO RECLAM019000000029961505000102</t>
  </si>
  <si>
    <t>218810447'= DEPOSITOS POR DEVOLUCAO DE VALORES NAO RECLAM019000000033439092000160</t>
  </si>
  <si>
    <t>218810447'= DEPOSITOS POR DEVOLUCAO DE VALORES NAO RECLAM019000000033906066000102</t>
  </si>
  <si>
    <t>218810447'= DEPOSITOS POR DEVOLUCAO DE VALORES NAO RECLAM019000000036026560000162</t>
  </si>
  <si>
    <t>218810447'= DEPOSITOS POR DEVOLUCAO DE VALORES NAO RECLAM019000000039418785000152</t>
  </si>
  <si>
    <t>218810447'= DEPOSITOS POR DEVOLUCAO DE VALORES NAO RECLAM019000000042539684000144</t>
  </si>
  <si>
    <t>218810447'= DEPOSITOS POR DEVOLUCAO DE VALORES NAO RECLAM019000000046390209000100</t>
  </si>
  <si>
    <t>218810447'= DEPOSITOS POR DEVOLUCAO DE VALORES NAO RECLAM019000000076535764000143</t>
  </si>
  <si>
    <t>218810447'= DEPOSITOS POR DEVOLUCAO DE VALORES NAO RECLAM019000000092812098000108</t>
  </si>
  <si>
    <t>218910100'= INDENIZACOES, RESTITUICOES E COMPENSACOES010000000000000000000191</t>
  </si>
  <si>
    <t>218910100'= INDENIZACOES, RESTITUICOES E COMPENSACOES0100000000PF9999905</t>
  </si>
  <si>
    <t>218910100'= INDENIZACOES, RESTITUICOES E COMPENSACOES0100000000PF9999930</t>
  </si>
  <si>
    <t>218910100'= INDENIZACOES, RESTITUICOES E COMPENSACOES015011320800000000000191</t>
  </si>
  <si>
    <t>218910200'= DIARIAS A PAGAR010000000000085062723</t>
  </si>
  <si>
    <t>218910200'= DIARIAS A PAGAR010000000000345967712</t>
  </si>
  <si>
    <t>218910200'= DIARIAS A PAGAR010000000000479751722</t>
  </si>
  <si>
    <t>218910200'= DIARIAS A PAGAR010000000000507557735</t>
  </si>
  <si>
    <t>218910200'= DIARIAS A PAGAR010000000001135098719</t>
  </si>
  <si>
    <t>218910200'= DIARIAS A PAGAR010000000001403752524</t>
  </si>
  <si>
    <t>218910200'= DIARIAS A PAGAR010000000001455185744</t>
  </si>
  <si>
    <t>218910200'= DIARIAS A PAGAR010000000001617762725</t>
  </si>
  <si>
    <t>218910200'= DIARIAS A PAGAR010000000001652326766</t>
  </si>
  <si>
    <t>218910200'= DIARIAS A PAGAR010000000001851133704</t>
  </si>
  <si>
    <t>218910200'= DIARIAS A PAGAR010000000002051085714</t>
  </si>
  <si>
    <t>218910200'= DIARIAS A PAGAR010000000002065435739</t>
  </si>
  <si>
    <t>218910200'= DIARIAS A PAGAR010000000002132647739</t>
  </si>
  <si>
    <t>218910200'= DIARIAS A PAGAR010000000002155157738</t>
  </si>
  <si>
    <t>218910200'= DIARIAS A PAGAR010000000002241603708</t>
  </si>
  <si>
    <t>218910200'= DIARIAS A PAGAR010000000002314099745</t>
  </si>
  <si>
    <t>218910200'= DIARIAS A PAGAR010000000002539202721</t>
  </si>
  <si>
    <t>218910200'= DIARIAS A PAGAR010000000003018866797</t>
  </si>
  <si>
    <t>218910200'= DIARIAS A PAGAR010000000003248614781</t>
  </si>
  <si>
    <t>218910200'= DIARIAS A PAGAR010000000003318464708</t>
  </si>
  <si>
    <t>218910200'= DIARIAS A PAGAR010000000003470602182</t>
  </si>
  <si>
    <t>218910200'= DIARIAS A PAGAR010000000003595051718</t>
  </si>
  <si>
    <t>218910200'= DIARIAS A PAGAR010000000003662930790</t>
  </si>
  <si>
    <t>218910200'= DIARIAS A PAGAR010000000003869323795</t>
  </si>
  <si>
    <t>218910200'= DIARIAS A PAGAR010000000004243088780</t>
  </si>
  <si>
    <t>218910200'= DIARIAS A PAGAR010000000004416936796</t>
  </si>
  <si>
    <t>218910200'= DIARIAS A PAGAR010000000004467200541</t>
  </si>
  <si>
    <t>218910200'= DIARIAS A PAGAR010000000005183047871</t>
  </si>
  <si>
    <t>218910200'= DIARIAS A PAGAR010000000005282052776</t>
  </si>
  <si>
    <t>218910200'= DIARIAS A PAGAR010000000005320361742</t>
  </si>
  <si>
    <t>218910200'= DIARIAS A PAGAR010000000005320369646</t>
  </si>
  <si>
    <t>218910200'= DIARIAS A PAGAR010000000005341682645</t>
  </si>
  <si>
    <t>218910200'= DIARIAS A PAGAR010000000005361046701</t>
  </si>
  <si>
    <t>218910200'= DIARIAS A PAGAR010000000005532915725</t>
  </si>
  <si>
    <t>218910200'= DIARIAS A PAGAR010000000005541957710</t>
  </si>
  <si>
    <t>218910200'= DIARIAS A PAGAR010000000005618288737</t>
  </si>
  <si>
    <t>218910200'= DIARIAS A PAGAR010000000005678774778</t>
  </si>
  <si>
    <t>218910200'= DIARIAS A PAGAR010000000005869949718</t>
  </si>
  <si>
    <t>218910200'= DIARIAS A PAGAR010000000005985523756</t>
  </si>
  <si>
    <t>218910200'= DIARIAS A PAGAR010000000006070982797</t>
  </si>
  <si>
    <t>218910200'= DIARIAS A PAGAR010000000006964465707</t>
  </si>
  <si>
    <t>218910200'= DIARIAS A PAGAR010000000007034952752</t>
  </si>
  <si>
    <t>218910200'= DIARIAS A PAGAR010000000007052571773</t>
  </si>
  <si>
    <t>218910200'= DIARIAS A PAGAR010000000007154974729</t>
  </si>
  <si>
    <t>218910200'= DIARIAS A PAGAR010000000007349170742</t>
  </si>
  <si>
    <t>218910200'= DIARIAS A PAGAR010000000007358038703</t>
  </si>
  <si>
    <t>218910200'= DIARIAS A PAGAR010000000007384277728</t>
  </si>
  <si>
    <t>218910200'= DIARIAS A PAGAR010000000007450725770</t>
  </si>
  <si>
    <t>218910200'= DIARIAS A PAGAR010000000007454288782</t>
  </si>
  <si>
    <t>218910200'= DIARIAS A PAGAR010000000007506693739</t>
  </si>
  <si>
    <t>218910200'= DIARIAS A PAGAR010000000007568732746</t>
  </si>
  <si>
    <t>218910200'= DIARIAS A PAGAR010000000007708292794</t>
  </si>
  <si>
    <t>218910200'= DIARIAS A PAGAR010000000007712093717</t>
  </si>
  <si>
    <t>218910200'= DIARIAS A PAGAR010000000007773254702</t>
  </si>
  <si>
    <t>218910200'= DIARIAS A PAGAR010000000007808975796</t>
  </si>
  <si>
    <t>218910200'= DIARIAS A PAGAR010000000007809171704</t>
  </si>
  <si>
    <t>218910200'= DIARIAS A PAGAR010000000007844342714</t>
  </si>
  <si>
    <t>218910200'= DIARIAS A PAGAR010000000007876820719</t>
  </si>
  <si>
    <t>218910200'= DIARIAS A PAGAR010000000007887245761</t>
  </si>
  <si>
    <t>218910200'= DIARIAS A PAGAR010000000007912863710</t>
  </si>
  <si>
    <t>218910200'= DIARIAS A PAGAR010000000007958493703</t>
  </si>
  <si>
    <t>218910200'= DIARIAS A PAGAR010000000008026237781</t>
  </si>
  <si>
    <t>218910200'= DIARIAS A PAGAR010000000008037198766</t>
  </si>
  <si>
    <t>218910200'= DIARIAS A PAGAR010000000008253330758</t>
  </si>
  <si>
    <t>218910200'= DIARIAS A PAGAR010000000008352320777</t>
  </si>
  <si>
    <t>218910200'= DIARIAS A PAGAR010000000008403534728</t>
  </si>
  <si>
    <t>218910200'= DIARIAS A PAGAR010000000008471275759</t>
  </si>
  <si>
    <t>218910200'= DIARIAS A PAGAR010000000008502159780</t>
  </si>
  <si>
    <t>218910200'= DIARIAS A PAGAR010000000008510378797</t>
  </si>
  <si>
    <t>218910200'= DIARIAS A PAGAR010000000008691815728</t>
  </si>
  <si>
    <t>218910200'= DIARIAS A PAGAR010000000008751517795</t>
  </si>
  <si>
    <t>218910200'= DIARIAS A PAGAR010000000008943162731</t>
  </si>
  <si>
    <t>218910200'= DIARIAS A PAGAR010000000009083315762</t>
  </si>
  <si>
    <t>218910200'= DIARIAS A PAGAR010000000009125619713</t>
  </si>
  <si>
    <t>218910200'= DIARIAS A PAGAR010000000009175552795</t>
  </si>
  <si>
    <t>218910200'= DIARIAS A PAGAR010000000009233861732</t>
  </si>
  <si>
    <t>218910200'= DIARIAS A PAGAR010000000009285929796</t>
  </si>
  <si>
    <t>218910200'= DIARIAS A PAGAR010000000009296059771</t>
  </si>
  <si>
    <t>218910200'= DIARIAS A PAGAR010000000009409138795</t>
  </si>
  <si>
    <t>218910200'= DIARIAS A PAGAR010000000009537610705</t>
  </si>
  <si>
    <t>218910200'= DIARIAS A PAGAR010000000009625244760</t>
  </si>
  <si>
    <t>218910200'= DIARIAS A PAGAR010000000009710217755</t>
  </si>
  <si>
    <t>218910200'= DIARIAS A PAGAR010000000009715087710</t>
  </si>
  <si>
    <t>218910200'= DIARIAS A PAGAR010000000009788118798</t>
  </si>
  <si>
    <t>218910200'= DIARIAS A PAGAR010000000009860243760</t>
  </si>
  <si>
    <t>218910200'= DIARIAS A PAGAR010000000009905589759</t>
  </si>
  <si>
    <t>218910200'= DIARIAS A PAGAR010000000010029617774</t>
  </si>
  <si>
    <t>218910200'= DIARIAS A PAGAR010000000010104989750</t>
  </si>
  <si>
    <t>218910200'= DIARIAS A PAGAR010000000010238278751</t>
  </si>
  <si>
    <t>218910200'= DIARIAS A PAGAR010000000010247161713</t>
  </si>
  <si>
    <t>218910200'= DIARIAS A PAGAR010000000010505533731</t>
  </si>
  <si>
    <t>218910200'= DIARIAS A PAGAR010000000010544676769</t>
  </si>
  <si>
    <t>218910200'= DIARIAS A PAGAR010000000010578800780</t>
  </si>
  <si>
    <t>218910200'= DIARIAS A PAGAR010000000010678049785</t>
  </si>
  <si>
    <t>218910200'= DIARIAS A PAGAR010000000010761818723</t>
  </si>
  <si>
    <t>218910200'= DIARIAS A PAGAR010000000010946153744</t>
  </si>
  <si>
    <t>218910200'= DIARIAS A PAGAR010000000011026627710</t>
  </si>
  <si>
    <t>218910200'= DIARIAS A PAGAR010000000011088864775</t>
  </si>
  <si>
    <t>218910200'= DIARIAS A PAGAR010000000011100014799</t>
  </si>
  <si>
    <t>218910200'= DIARIAS A PAGAR010000000011103375741</t>
  </si>
  <si>
    <t>218910200'= DIARIAS A PAGAR010000000011103390708</t>
  </si>
  <si>
    <t>218910200'= DIARIAS A PAGAR010000000011103478710</t>
  </si>
  <si>
    <t>218910200'= DIARIAS A PAGAR010000000011106048741</t>
  </si>
  <si>
    <t>218910200'= DIARIAS A PAGAR010000000011128990733</t>
  </si>
  <si>
    <t>218910200'= DIARIAS A PAGAR010000000011254992731</t>
  </si>
  <si>
    <t>218910200'= DIARIAS A PAGAR010000000011257316729</t>
  </si>
  <si>
    <t>218910200'= DIARIAS A PAGAR010000000011496825748</t>
  </si>
  <si>
    <t>218910200'= DIARIAS A PAGAR010000000011621224716</t>
  </si>
  <si>
    <t>218910200'= DIARIAS A PAGAR010000000011624919731</t>
  </si>
  <si>
    <t>218910200'= DIARIAS A PAGAR010000000011657929744</t>
  </si>
  <si>
    <t>218910200'= DIARIAS A PAGAR010000000011748498789</t>
  </si>
  <si>
    <t>218910200'= DIARIAS A PAGAR010000000011753893747</t>
  </si>
  <si>
    <t>218910200'= DIARIAS A PAGAR010000000011882656792</t>
  </si>
  <si>
    <t>218910200'= DIARIAS A PAGAR010000000011888471719</t>
  </si>
  <si>
    <t>218910200'= DIARIAS A PAGAR010000000011930765797</t>
  </si>
  <si>
    <t>218910200'= DIARIAS A PAGAR010000000012002456798</t>
  </si>
  <si>
    <t>218910200'= DIARIAS A PAGAR010000000012116849705</t>
  </si>
  <si>
    <t>218910200'= DIARIAS A PAGAR010000000012153142725</t>
  </si>
  <si>
    <t>218910200'= DIARIAS A PAGAR010000000012178480705</t>
  </si>
  <si>
    <t>218910200'= DIARIAS A PAGAR010000000012207050718</t>
  </si>
  <si>
    <t>218910200'= DIARIAS A PAGAR010000000012243559706</t>
  </si>
  <si>
    <t>218910200'= DIARIAS A PAGAR010000000012243564700</t>
  </si>
  <si>
    <t>218910200'= DIARIAS A PAGAR010000000012323155750</t>
  </si>
  <si>
    <t>218910200'= DIARIAS A PAGAR010000000012339353726</t>
  </si>
  <si>
    <t>218910200'= DIARIAS A PAGAR010000000012416679775</t>
  </si>
  <si>
    <t>218910200'= DIARIAS A PAGAR010000000012455956792</t>
  </si>
  <si>
    <t>218910200'= DIARIAS A PAGAR010000000012530156786</t>
  </si>
  <si>
    <t>218910200'= DIARIAS A PAGAR010000000012609177704</t>
  </si>
  <si>
    <t>218910200'= DIARIAS A PAGAR010000000012662396776</t>
  </si>
  <si>
    <t>218910200'= DIARIAS A PAGAR010000000012907866745</t>
  </si>
  <si>
    <t>218910200'= DIARIAS A PAGAR010000000012909760740</t>
  </si>
  <si>
    <t>218910200'= DIARIAS A PAGAR010000000012952461716</t>
  </si>
  <si>
    <t>218910200'= DIARIAS A PAGAR010000000013045670792</t>
  </si>
  <si>
    <t>218910200'= DIARIAS A PAGAR010000000013069590713</t>
  </si>
  <si>
    <t>218910200'= DIARIAS A PAGAR010000000013151337767</t>
  </si>
  <si>
    <t>218910200'= DIARIAS A PAGAR010000000013151475728</t>
  </si>
  <si>
    <t>218910200'= DIARIAS A PAGAR010000000013333191776</t>
  </si>
  <si>
    <t>218910200'= DIARIAS A PAGAR010000000013446574786</t>
  </si>
  <si>
    <t>218910200'= DIARIAS A PAGAR010000000013463298775</t>
  </si>
  <si>
    <t>218910200'= DIARIAS A PAGAR010000000013480919758</t>
  </si>
  <si>
    <t>218910200'= DIARIAS A PAGAR010000000013480920764</t>
  </si>
  <si>
    <t>218910200'= DIARIAS A PAGAR010000000013497946788</t>
  </si>
  <si>
    <t>218910200'= DIARIAS A PAGAR010000000013555381733</t>
  </si>
  <si>
    <t>218910200'= DIARIAS A PAGAR010000000013668542767</t>
  </si>
  <si>
    <t>218910200'= DIARIAS A PAGAR010000000013874852709</t>
  </si>
  <si>
    <t>218910200'= DIARIAS A PAGAR010000000014010890703</t>
  </si>
  <si>
    <t>218910200'= DIARIAS A PAGAR010000000014026860728</t>
  </si>
  <si>
    <t>218910200'= DIARIAS A PAGAR010000000014134212707</t>
  </si>
  <si>
    <t>218910200'= DIARIAS A PAGAR010000000014160946798</t>
  </si>
  <si>
    <t>218910200'= DIARIAS A PAGAR010000000014445540773</t>
  </si>
  <si>
    <t>218910200'= DIARIAS A PAGAR010000000014449976703</t>
  </si>
  <si>
    <t>218910200'= DIARIAS A PAGAR010000000014455754776</t>
  </si>
  <si>
    <t>218910200'= DIARIAS A PAGAR010000000014489778783</t>
  </si>
  <si>
    <t>218910200'= DIARIAS A PAGAR010000000014513251778</t>
  </si>
  <si>
    <t>218910200'= DIARIAS A PAGAR010000000014515368796</t>
  </si>
  <si>
    <t>218910200'= DIARIAS A PAGAR010000000014524145729</t>
  </si>
  <si>
    <t>218910200'= DIARIAS A PAGAR010000000014624773721</t>
  </si>
  <si>
    <t>218910200'= DIARIAS A PAGAR010000000030701821787</t>
  </si>
  <si>
    <t>218910200'= DIARIAS A PAGAR010000000031779108800</t>
  </si>
  <si>
    <t>218910200'= DIARIAS A PAGAR010000000046178325134</t>
  </si>
  <si>
    <t>218910200'= DIARIAS A PAGAR010000000050443631700</t>
  </si>
  <si>
    <t>218910200'= DIARIAS A PAGAR010000000064475867720</t>
  </si>
  <si>
    <t>218910200'= DIARIAS A PAGAR010000000067317529753</t>
  </si>
  <si>
    <t>218910200'= DIARIAS A PAGAR010000000076414019372</t>
  </si>
  <si>
    <t>218910200'= DIARIAS A PAGAR010000000077399820759</t>
  </si>
  <si>
    <t>218910200'= DIARIAS A PAGAR010000000085407585715</t>
  </si>
  <si>
    <t>218910200'= DIARIAS A PAGAR010000000086076477768</t>
  </si>
  <si>
    <t>218910200'= DIARIAS A PAGAR010000000087506440768</t>
  </si>
  <si>
    <t>218910200'= DIARIAS A PAGAR010000000090941594734</t>
  </si>
  <si>
    <t>218910200'= DIARIAS A PAGAR010000000096080558572</t>
  </si>
  <si>
    <t>218910200'= DIARIAS A PAGAR010000000096330546720</t>
  </si>
  <si>
    <t>218910200'= DIARIAS A PAGAR010000000097503274700</t>
  </si>
  <si>
    <t>218910200'= DIARIAS A PAGAR015011320800085062723</t>
  </si>
  <si>
    <t>218910200'= DIARIAS A PAGAR015011320800345967712</t>
  </si>
  <si>
    <t>218910200'= DIARIAS A PAGAR015011320800559524706</t>
  </si>
  <si>
    <t>218910200'= DIARIAS A PAGAR015011320801403752524</t>
  </si>
  <si>
    <t>218910200'= DIARIAS A PAGAR015011320801455185744</t>
  </si>
  <si>
    <t>218910200'= DIARIAS A PAGAR015011320801617762725</t>
  </si>
  <si>
    <t>218910200'= DIARIAS A PAGAR015011320802065435739</t>
  </si>
  <si>
    <t>218910200'= DIARIAS A PAGAR015011320802132647739</t>
  </si>
  <si>
    <t>218910200'= DIARIAS A PAGAR015011320802539202721</t>
  </si>
  <si>
    <t>218910200'= DIARIAS A PAGAR015011320803248614781</t>
  </si>
  <si>
    <t>218910200'= DIARIAS A PAGAR015011320803595051718</t>
  </si>
  <si>
    <t>218910200'= DIARIAS A PAGAR015011320805361046701</t>
  </si>
  <si>
    <t>218910200'= DIARIAS A PAGAR015011320805532915725</t>
  </si>
  <si>
    <t>218910200'= DIARIAS A PAGAR015011320805618288737</t>
  </si>
  <si>
    <t>218910200'= DIARIAS A PAGAR015011320805678774778</t>
  </si>
  <si>
    <t>218910200'= DIARIAS A PAGAR015011320805877414739</t>
  </si>
  <si>
    <t>218910200'= DIARIAS A PAGAR015011320807349170742</t>
  </si>
  <si>
    <t>218910200'= DIARIAS A PAGAR015011320807450725770</t>
  </si>
  <si>
    <t>218910200'= DIARIAS A PAGAR015011320807454288782</t>
  </si>
  <si>
    <t>218910200'= DIARIAS A PAGAR015011320807887245761</t>
  </si>
  <si>
    <t>218910200'= DIARIAS A PAGAR015011320807912863710</t>
  </si>
  <si>
    <t>218910200'= DIARIAS A PAGAR015011320808510378797</t>
  </si>
  <si>
    <t>218910200'= DIARIAS A PAGAR015011320809175552795</t>
  </si>
  <si>
    <t>218910200'= DIARIAS A PAGAR015011320809233861732</t>
  </si>
  <si>
    <t>218910200'= DIARIAS A PAGAR015011320809409138795</t>
  </si>
  <si>
    <t>218910200'= DIARIAS A PAGAR015011320809537610705</t>
  </si>
  <si>
    <t>218910200'= DIARIAS A PAGAR015011320809625244760</t>
  </si>
  <si>
    <t>218910200'= DIARIAS A PAGAR015011320809710217755</t>
  </si>
  <si>
    <t>218910200'= DIARIAS A PAGAR015011320809905589759</t>
  </si>
  <si>
    <t>218910200'= DIARIAS A PAGAR015011320810029617774</t>
  </si>
  <si>
    <t>218910200'= DIARIAS A PAGAR015011320810104989750</t>
  </si>
  <si>
    <t>218910200'= DIARIAS A PAGAR015011320810578800780</t>
  </si>
  <si>
    <t>218910200'= DIARIAS A PAGAR015011320810613752775</t>
  </si>
  <si>
    <t>218910200'= DIARIAS A PAGAR015011320811103390708</t>
  </si>
  <si>
    <t>218910200'= DIARIAS A PAGAR015011320811128990733</t>
  </si>
  <si>
    <t>218910200'= DIARIAS A PAGAR015011320811748498789</t>
  </si>
  <si>
    <t>218910200'= DIARIAS A PAGAR015011320811882656792</t>
  </si>
  <si>
    <t>218910200'= DIARIAS A PAGAR015011320812416679775</t>
  </si>
  <si>
    <t>218910200'= DIARIAS A PAGAR015011320812455956792</t>
  </si>
  <si>
    <t>218910200'= DIARIAS A PAGAR015011320812609177704</t>
  </si>
  <si>
    <t>218910200'= DIARIAS A PAGAR015011320813069590713</t>
  </si>
  <si>
    <t>218910200'= DIARIAS A PAGAR015011320813151337767</t>
  </si>
  <si>
    <t>218910200'= DIARIAS A PAGAR015011320813151475728</t>
  </si>
  <si>
    <t>218910200'= DIARIAS A PAGAR015011320813194064754</t>
  </si>
  <si>
    <t>218910200'= DIARIAS A PAGAR015011320813333191776</t>
  </si>
  <si>
    <t>218910200'= DIARIAS A PAGAR015011320813555381733</t>
  </si>
  <si>
    <t>218910200'= DIARIAS A PAGAR015011320813668542767</t>
  </si>
  <si>
    <t>218910200'= DIARIAS A PAGAR015011320813874852709</t>
  </si>
  <si>
    <t>218910200'= DIARIAS A PAGAR015011320814026860728</t>
  </si>
  <si>
    <t>218910200'= DIARIAS A PAGAR015011320814134212707</t>
  </si>
  <si>
    <t>218910200'= DIARIAS A PAGAR015011320814445540773</t>
  </si>
  <si>
    <t>218910200'= DIARIAS A PAGAR015011320814449976703</t>
  </si>
  <si>
    <t>218910200'= DIARIAS A PAGAR015011320814524145729</t>
  </si>
  <si>
    <t>218910200'= DIARIAS A PAGAR015011320814624773721</t>
  </si>
  <si>
    <t>218910200'= DIARIAS A PAGAR015011320816175439775</t>
  </si>
  <si>
    <t>218910200'= DIARIAS A PAGAR015011320846178325134</t>
  </si>
  <si>
    <t>218910200'= DIARIAS A PAGAR015011320867317529753</t>
  </si>
  <si>
    <t>218910200'= DIARIAS A PAGAR015011320876414019372</t>
  </si>
  <si>
    <t>218910200'= DIARIAS A PAGAR015011320897503274700</t>
  </si>
  <si>
    <t>218910200'= DIARIAS A PAGAR015011320899275180725</t>
  </si>
  <si>
    <t>218910300'= SUPRIMENTOS DE FUNDOS A PAGAR015011320800000000000191</t>
  </si>
  <si>
    <t>218910300'= SUPRIMENTOS DE FUNDOS A PAGAR015011320800000000191</t>
  </si>
  <si>
    <t>218912800'= SUBVENCOES E DOACOES PARA INVESTIMENTOSFTATC2021</t>
  </si>
  <si>
    <t>218913601'= GRU-VALORES EM TRANSITO PARA ESTORNO DESPESA0190000000</t>
  </si>
  <si>
    <t>218913603'= ORDENS BANCARIAS CANCELADAS01909800002022OB800015</t>
  </si>
  <si>
    <t>218913603'= ORDENS BANCARIAS CANCELADAS01909800002022OB800217</t>
  </si>
  <si>
    <t>218913603'= ORDENS BANCARIAS CANCELADAS01909800002022OB800325</t>
  </si>
  <si>
    <t>218913603'= ORDENS BANCARIAS CANCELADAS01909800002022OB800352</t>
  </si>
  <si>
    <t>218913603'= ORDENS BANCARIAS CANCELADAS01909800002022OB800503</t>
  </si>
  <si>
    <t>218913603'= ORDENS BANCARIAS CANCELADAS01909800002022OB800521</t>
  </si>
  <si>
    <t>218913603'= ORDENS BANCARIAS CANCELADAS01909800002022OB800591</t>
  </si>
  <si>
    <t>218913603'= ORDENS BANCARIAS CANCELADAS01909800002022OB800831</t>
  </si>
  <si>
    <t>218913603'= ORDENS BANCARIAS CANCELADAS01909800002022OB800832</t>
  </si>
  <si>
    <t>218913603'= ORDENS BANCARIAS CANCELADAS01909800002022OB801013</t>
  </si>
  <si>
    <t>218913603'= ORDENS BANCARIAS CANCELADAS01909800002022OB801014</t>
  </si>
  <si>
    <t>218913603'= ORDENS BANCARIAS CANCELADAS01909800002022OB801212</t>
  </si>
  <si>
    <t>218913603'= ORDENS BANCARIAS CANCELADAS01909800002022OB801307</t>
  </si>
  <si>
    <t>218913603'= ORDENS BANCARIAS CANCELADAS01909800002022OB801839</t>
  </si>
  <si>
    <t>218913603'= ORDENS BANCARIAS CANCELADAS01909800002022OB801846</t>
  </si>
  <si>
    <t>218913603'= ORDENS BANCARIAS CANCELADAS01909800002022OB801863</t>
  </si>
  <si>
    <t>218913603'= ORDENS BANCARIAS CANCELADAS01909800002022OB801869</t>
  </si>
  <si>
    <t>218913603'= ORDENS BANCARIAS CANCELADAS01909800002022OB802462</t>
  </si>
  <si>
    <t>218913603'= ORDENS BANCARIAS CANCELADAS01909800002022OB802519</t>
  </si>
  <si>
    <t>218913603'= ORDENS BANCARIAS CANCELADAS01909800002022OB802646</t>
  </si>
  <si>
    <t>218913603'= ORDENS BANCARIAS CANCELADAS01909800002022OB802713</t>
  </si>
  <si>
    <t>218913603'= ORDENS BANCARIAS CANCELADAS01909800002022OB803623</t>
  </si>
  <si>
    <t>218913603'= ORDENS BANCARIAS CANCELADAS01909800002022OB803640</t>
  </si>
  <si>
    <t>218913603'= ORDENS BANCARIAS CANCELADAS01909800002022OB803657</t>
  </si>
  <si>
    <t>218913603'= ORDENS BANCARIAS CANCELADAS01909800002022OB804275</t>
  </si>
  <si>
    <t>218913603'= ORDENS BANCARIAS CANCELADAS01909800002022OB804472</t>
  </si>
  <si>
    <t>218913603'= ORDENS BANCARIAS CANCELADAS01909800002022OB804473</t>
  </si>
  <si>
    <t>218913603'= ORDENS BANCARIAS CANCELADAS01909800002022OB804478</t>
  </si>
  <si>
    <t>218913603'= ORDENS BANCARIAS CANCELADAS01909800002022OB804484</t>
  </si>
  <si>
    <t>218913603'= ORDENS BANCARIAS CANCELADAS01909800002022OB804485</t>
  </si>
  <si>
    <t>218913603'= ORDENS BANCARIAS CANCELADAS01909800002022OB804604</t>
  </si>
  <si>
    <t>218913603'= ORDENS BANCARIAS CANCELADAS01909800002022OB804838</t>
  </si>
  <si>
    <t>218913603'= ORDENS BANCARIAS CANCELADAS01909800002022OB805079</t>
  </si>
  <si>
    <t>218919501'= PASSIVOS EM LIQUIDACAO A CLASSIFICAR0177000000</t>
  </si>
  <si>
    <t>218950100'= INDENIZAC, RESTITUIC E COMPENSAC -INTER MUNIC010000000000000000000191</t>
  </si>
  <si>
    <t>228912800'= SUBVENCOES E DOACOES PARA INVESTIMENTOS42540211000167</t>
  </si>
  <si>
    <t>228912800'= SUBVENCOES E DOACOES PARA INVESTIMENTOSCL7892000</t>
  </si>
  <si>
    <t>228912800'= SUBVENCOES E DOACOES PARA INVESTIMENTOSFTATC2021</t>
  </si>
  <si>
    <t>236120100'= REAVALIACAO DE BENS IMOVEIS123210202</t>
  </si>
  <si>
    <t>236120300'= REAVALIACAO DE BENS MOVEIS123119999</t>
  </si>
  <si>
    <t>237220300AJUSTES DE EXERCICIOS ANTERIORESSEM INFORMACAO</t>
  </si>
  <si>
    <t>313210300AUXILIO MORADIA - RGPSSEM INFORMACAO</t>
  </si>
  <si>
    <t>332110100DIARIASSEM INFORMACAO</t>
  </si>
  <si>
    <t>332340400SERV. TRANSP.,PASSAG.,LOC.E HOSP.-PJ-ESTSEM INFORMACAO</t>
  </si>
  <si>
    <t>342310300MULTAS INDEDUTIVEISSEM INFORMACAO</t>
  </si>
  <si>
    <t>351220100'= TRANSFERENCIAS CONCEDIDAS PARA PGTO DE RP0144000000</t>
  </si>
  <si>
    <t>351220100'= TRANSFERENCIAS CONCEDIDAS PARA PGTO DE RP0188000000</t>
  </si>
  <si>
    <t>361510100REDUCAO A VALOR RECUPERAVEL DE BENS MOVEISSEM INFORMACAO</t>
  </si>
  <si>
    <t>361510200REDUCAO A VALOR RECUPERAVEL DE BENS IMOVEISSEM INFORMACAO</t>
  </si>
  <si>
    <t>363210100PERDAS INVOLUNTARIAS COM SOFTWARESSEM INFORMACAO</t>
  </si>
  <si>
    <t>363310100PERDAS INVOLUNTARIAS COM ESTOQUESSEM INFORMACAO</t>
  </si>
  <si>
    <t>363910100OUTRAS PERDAS INVOLUNTARIASSEM INFORMACAO</t>
  </si>
  <si>
    <t>432920400* IPISEM INFORMACAO</t>
  </si>
  <si>
    <t>442910100OUTROS JUROS E ENCARGOS DE MORASEM INFORMACAO</t>
  </si>
  <si>
    <t>443910101ATUALIZACAO MONETARIA POSITIVA/DEMAIS ATIVOSSEM INFORMACAO</t>
  </si>
  <si>
    <t>451120200'= REPASSE RECEBIDO0100000000</t>
  </si>
  <si>
    <t>451120200'= REPASSE RECEBIDO0151000000</t>
  </si>
  <si>
    <t>451120200'= REPASSE RECEBIDO0188000000</t>
  </si>
  <si>
    <t>451120200'= REPASSE RECEBIDO0300000000</t>
  </si>
  <si>
    <t>451220100'= TRANSFERENCIAS RECEBIDAS PARA PGTO DE RP0188000000</t>
  </si>
  <si>
    <t>451220500MOVIMENTACOES DE VARIACAO PATRIM. AUMENTATIVASEM INFORMACAO</t>
  </si>
  <si>
    <t>463310100GANHOS COM INCORPORACAO DE ATIVOS APREENDIDOSSEM INFORMACAO</t>
  </si>
  <si>
    <t>Total</t>
  </si>
  <si>
    <t>Instalações</t>
  </si>
  <si>
    <t>Edifícios</t>
  </si>
  <si>
    <t>IMOBILIZADO</t>
  </si>
  <si>
    <t>ATIVO IMOBILIZADO</t>
  </si>
  <si>
    <t>SALDO INCIAL</t>
  </si>
  <si>
    <t>AQUISIÇÕES</t>
  </si>
  <si>
    <t>TRANSFERÊNCIAS INTERNAS</t>
  </si>
  <si>
    <t>INCORPORAÇÕES E BAIXAS</t>
  </si>
  <si>
    <t>DEPRECIAÇÕES</t>
  </si>
  <si>
    <t>VALOR RECUPERÁVEL</t>
  </si>
  <si>
    <t>SALDO FINAL</t>
  </si>
  <si>
    <t>Terrreno</t>
  </si>
  <si>
    <t>Máquinas e Equipamentos Industriais</t>
  </si>
  <si>
    <t>Demais Equipamentos</t>
  </si>
  <si>
    <t>Tecnologia da Informação e Comunicação</t>
  </si>
  <si>
    <t>Bens Ativáveis</t>
  </si>
  <si>
    <t>Móveis e Utensílios</t>
  </si>
  <si>
    <t>Veículos</t>
  </si>
  <si>
    <t>INTANGÍVEL</t>
  </si>
  <si>
    <t>Importações em andamento</t>
  </si>
  <si>
    <t xml:space="preserve"> </t>
  </si>
  <si>
    <t>Posição em Milhares de Reais</t>
  </si>
  <si>
    <t>AH%</t>
  </si>
  <si>
    <t>Em reais</t>
  </si>
  <si>
    <t>(A)</t>
  </si>
  <si>
    <t>AV%</t>
  </si>
  <si>
    <t>(B)</t>
  </si>
  <si>
    <t>(C)</t>
  </si>
  <si>
    <t>(A)/(B)</t>
  </si>
  <si>
    <t>ATIVO CIRCULANTE</t>
  </si>
  <si>
    <t>Contas a receber</t>
  </si>
  <si>
    <t>Impostos a recuperar</t>
  </si>
  <si>
    <t>Outros créditos</t>
  </si>
  <si>
    <t>ATIVO NÃO CIRCULANTE</t>
  </si>
  <si>
    <t>REALIZÁVEL A LONGO PRAZO</t>
  </si>
  <si>
    <t>Depósitos recursais</t>
  </si>
  <si>
    <t>(-) SUBVENÇÃO PARA INVESTIMENTOS</t>
  </si>
  <si>
    <t>ATIVO TOTAL</t>
  </si>
  <si>
    <t>As notas explicativas são parte integrante das demonstrações financeiras.</t>
  </si>
  <si>
    <t>PASSIVO</t>
  </si>
  <si>
    <t>PASSIVO CIRCULANTE</t>
  </si>
  <si>
    <t>Obrigações trabalhistas e sociais</t>
  </si>
  <si>
    <t>Obrigações com clientes</t>
  </si>
  <si>
    <t>Outras obrigações</t>
  </si>
  <si>
    <t>Receita de subvenção a realizar</t>
  </si>
  <si>
    <t>PASSIVO NÃO CIRCULANTE</t>
  </si>
  <si>
    <t>EXIGÍVEL A LONGO PRAZO</t>
  </si>
  <si>
    <t>PATRIMÔNIO LÍQUIDO</t>
  </si>
  <si>
    <t>Capital social</t>
  </si>
  <si>
    <t>Adiantamento para futuro aumento de capital</t>
  </si>
  <si>
    <t>Prejuízos acumulados</t>
  </si>
  <si>
    <t>PASSIVO TOTAL</t>
  </si>
  <si>
    <t>DEMONSTRAÇÃO DO RESULTADO DO EXERCÍCIO</t>
  </si>
  <si>
    <t>AV %</t>
  </si>
  <si>
    <t>RECEITA OPERACIONAL BRUTA</t>
  </si>
  <si>
    <t>(-) DEDUÇÕES SOBRE VENDAS</t>
  </si>
  <si>
    <t>RECEITA OPERACIONAL LÍQUIDA</t>
  </si>
  <si>
    <t>LUCRO BRUTO</t>
  </si>
  <si>
    <t>(-) DESPESAS OPERACIONAIS</t>
  </si>
  <si>
    <t>*</t>
  </si>
  <si>
    <t>LUCRO LÍQUIDO DO EXERCÍCIO</t>
  </si>
  <si>
    <t>DEMONSTRAÇÃO DOS FLUXOS DE CAIXA</t>
  </si>
  <si>
    <t>FLUXO DE CAIXA DAS ATIVIDADES OPERACIONAIS</t>
  </si>
  <si>
    <t xml:space="preserve">     Resultado do exercício</t>
  </si>
  <si>
    <t xml:space="preserve">      Ajustes para conciliar o resultado às disponibilidades</t>
  </si>
  <si>
    <t xml:space="preserve">                 Variações monetárias líquidas</t>
  </si>
  <si>
    <t xml:space="preserve">                 Ajuste de exercícios anteriores</t>
  </si>
  <si>
    <t xml:space="preserve">                 Adiantamento para futuro aumento de capital</t>
  </si>
  <si>
    <t xml:space="preserve">                 Depreciação</t>
  </si>
  <si>
    <t xml:space="preserve">                 Amortizações</t>
  </si>
  <si>
    <t xml:space="preserve">                 Impairment</t>
  </si>
  <si>
    <t xml:space="preserve">                 Baixa/Ganho no ativo imobilizado</t>
  </si>
  <si>
    <t xml:space="preserve">                 Baixa no ativo intangível</t>
  </si>
  <si>
    <t xml:space="preserve">                 Realização das subvenções de investimentos</t>
  </si>
  <si>
    <t xml:space="preserve">    (Aumentos) Reduções do Ativo</t>
  </si>
  <si>
    <t xml:space="preserve">                 Contas a receber </t>
  </si>
  <si>
    <t xml:space="preserve">                 Outros créditos </t>
  </si>
  <si>
    <t xml:space="preserve">                 Estoques</t>
  </si>
  <si>
    <t xml:space="preserve">                 Depósitos recursais e cauções</t>
  </si>
  <si>
    <t xml:space="preserve">                 Impostos a recuperar</t>
  </si>
  <si>
    <t xml:space="preserve">   Aumentos (Reduções) do Passivo </t>
  </si>
  <si>
    <t xml:space="preserve">                Fornecedores </t>
  </si>
  <si>
    <t xml:space="preserve">                Obrigações trabalhistas e sociais</t>
  </si>
  <si>
    <t xml:space="preserve">                Obrigações tributárias</t>
  </si>
  <si>
    <t xml:space="preserve">                Previdência privada</t>
  </si>
  <si>
    <t xml:space="preserve">                Obrigações com clientes</t>
  </si>
  <si>
    <t>FLUXO DE CAIXA DAS ATIVIDADES DE INVESTIMENTOS</t>
  </si>
  <si>
    <t xml:space="preserve">               Aquisição de investimento</t>
  </si>
  <si>
    <t xml:space="preserve">               Aquisição de imobilizado </t>
  </si>
  <si>
    <t xml:space="preserve">               Baixa de imobilizado </t>
  </si>
  <si>
    <t xml:space="preserve">               Aquisição de intangível </t>
  </si>
  <si>
    <t>FLUXO DE CAIXA DAS ATIVIDADES DE FINANCIAMENTO</t>
  </si>
  <si>
    <t xml:space="preserve">               Subvenções para amortização de dívida - Nucleos</t>
  </si>
  <si>
    <t>FLUXO DE CAIXA GERADO (APLICADO) NO EXERCÍCIO</t>
  </si>
  <si>
    <t>VARIAÇÃO NO SALDO DAS DISPONIBILIDADES</t>
  </si>
  <si>
    <t>DEMONSTRAÇÃO DO RESULTADO ABRANGENTE</t>
  </si>
  <si>
    <t>LUCRO (PREJUÍZO) DO EXERCÍCIO</t>
  </si>
  <si>
    <t>Outros resultados abrangentes</t>
  </si>
  <si>
    <t xml:space="preserve">   Realização da reserva de reavaliação</t>
  </si>
  <si>
    <t>RESULTADO ABRANGENTE</t>
  </si>
  <si>
    <t>As notas explicativas são parte integrante das demonstrações contábeis.</t>
  </si>
  <si>
    <t>DEMONSTRAÇÃO DO VALOR ADICIONADO</t>
  </si>
  <si>
    <t>1. RECEITAS</t>
  </si>
  <si>
    <t>Receita bruta de vendas de produtos e serviços</t>
  </si>
  <si>
    <t>2. INSUMOS PRÓPRIOS E ADQUIRIDOS DE TERCEIROS</t>
  </si>
  <si>
    <t>(-) Materiais, energia e serviços de terceiros</t>
  </si>
  <si>
    <t>3. VALOR ADICIONADO BRUTO</t>
  </si>
  <si>
    <t>4. RETENÇÕES</t>
  </si>
  <si>
    <t>(-) Depreciação dos bens móveis e imóveis</t>
  </si>
  <si>
    <t>(-) Amortização de ativos não circulantes</t>
  </si>
  <si>
    <t xml:space="preserve">(-) Redução ao valor recuperável </t>
  </si>
  <si>
    <t>5. VALOR ADICIONADO LÍQUIDO PRODUZIDO PELA ENTIDADE</t>
  </si>
  <si>
    <t>6. VALOR ADICIONADO RECEBIDO EM TRANSFERÊNCIA</t>
  </si>
  <si>
    <t>(+) Receita financeira</t>
  </si>
  <si>
    <t>7. VALOR ADICIONADO A TRANSFERIR</t>
  </si>
  <si>
    <t>8. DISTRIBUIÇÃO DO VALOR ADICIONADO</t>
  </si>
  <si>
    <t>Previdência complementar</t>
  </si>
  <si>
    <t>Provisões (trabalhistas, cíveis e tributárias)</t>
  </si>
  <si>
    <t xml:space="preserve">Juros e atualizações monetárias </t>
  </si>
  <si>
    <t>Resultado do exercício</t>
  </si>
  <si>
    <t>DEMONSTRAÇÃO DAS MUTAÇÕES DO PATRIMÔNIO LÍQUIDO</t>
  </si>
  <si>
    <t>Nota</t>
  </si>
  <si>
    <t>Reserva  de reavaliação</t>
  </si>
  <si>
    <t xml:space="preserve">  Realização reserva de reavaliação</t>
  </si>
  <si>
    <t xml:space="preserve">  Adiantamento para futuro aumento de capital</t>
  </si>
  <si>
    <t xml:space="preserve">  Resultado do exercício</t>
  </si>
  <si>
    <t xml:space="preserve">  Baixa e depreciação de ativos incorporados a valor justo</t>
  </si>
  <si>
    <t>NUCLEBRÁS EQUIPAMENTOS PESADOS S.A. - NUCLEP</t>
  </si>
  <si>
    <t>NOTAS EXPLICATIVAS ÀS DEMONSTRAÇÕES FINANCEIRAS</t>
  </si>
  <si>
    <t>(Em Milhares de Reais)</t>
  </si>
  <si>
    <t>Pessoal</t>
  </si>
  <si>
    <t>Custeio/Investimento – Fonte Tesouro Nacional</t>
  </si>
  <si>
    <t>Custeio -  Fonte Própria</t>
  </si>
  <si>
    <t>Produtos em Processo - Circulante</t>
  </si>
  <si>
    <t>Eletronuclear</t>
  </si>
  <si>
    <t>Almoxarifado</t>
  </si>
  <si>
    <t>IPI</t>
  </si>
  <si>
    <t>COFINS</t>
  </si>
  <si>
    <t>PASEP</t>
  </si>
  <si>
    <t>ICMS</t>
  </si>
  <si>
    <t>ISS</t>
  </si>
  <si>
    <t>Secretaria do Tesouro Nacional:</t>
  </si>
  <si>
    <t xml:space="preserve"> Sentenças judiciais a receber</t>
  </si>
  <si>
    <t xml:space="preserve"> TOTAL                     </t>
  </si>
  <si>
    <t>TOTAL</t>
  </si>
  <si>
    <t>Demais depósitos</t>
  </si>
  <si>
    <t>Impsa</t>
  </si>
  <si>
    <t>FORNECEDORES</t>
  </si>
  <si>
    <t xml:space="preserve">              </t>
  </si>
  <si>
    <t>OBRIGAÇÕES COM CLIENTES</t>
  </si>
  <si>
    <t>Eletrobrás Termonuclear S/A - Eletronuclear</t>
  </si>
  <si>
    <t>Circulante</t>
  </si>
  <si>
    <t xml:space="preserve">Centro Tecnológico da Marinha em SP - CTMSP </t>
  </si>
  <si>
    <t>OUTRAS OBRIGAÇÕES</t>
  </si>
  <si>
    <t>RECEITA DE SUBVENÇÃO A REALIZAR</t>
  </si>
  <si>
    <t>Não Circulante</t>
  </si>
  <si>
    <t>MARINHA DO BRASIL</t>
  </si>
  <si>
    <t>Outras Receitas: Venda de Ativos Não Circulantes/Baixa de Passivos</t>
  </si>
  <si>
    <t xml:space="preserve">F Ó R M U L A S </t>
  </si>
  <si>
    <t>Multiplicar Despesas por:</t>
  </si>
  <si>
    <t>0101403-76.2016.5.01.0461</t>
  </si>
  <si>
    <t>0101767-14.2017.5.01.0461</t>
  </si>
  <si>
    <t>0100213-34.2023.5.01.0461</t>
  </si>
  <si>
    <t>Maior</t>
  </si>
  <si>
    <t>Menor</t>
  </si>
  <si>
    <t>Empregados</t>
  </si>
  <si>
    <t>-</t>
  </si>
  <si>
    <t>DEPÓSITOS RECURSAIS</t>
  </si>
  <si>
    <t xml:space="preserve"> NUCLEOS – Instituto de Seguridade Social</t>
  </si>
  <si>
    <t>Correspondem aos depósitos judiciais relacionados a diversas processos trabalhistas. Por não concordar com as decisões proferidas pela justiça, a NUCLEP se vê na obrigação de recorrer diante da expectativa e da possibilidade de reverter tais decisões, enquanto couber recurso.</t>
  </si>
  <si>
    <t>São depósitos efetuados conforme estabelecidos em cláusulas contratuais, que serão resgatados após o encerramento dos respectivos contratos, a saber:</t>
  </si>
  <si>
    <t>Saldo em 31 de Dezembro de 2023</t>
  </si>
  <si>
    <t>03344768794</t>
  </si>
  <si>
    <t>09495432766</t>
  </si>
  <si>
    <t>11037627709</t>
  </si>
  <si>
    <t>12099934738</t>
  </si>
  <si>
    <t>PF9999923</t>
  </si>
  <si>
    <t>08012469000152</t>
  </si>
  <si>
    <t>29080486000105</t>
  </si>
  <si>
    <t>100000000016944219000189</t>
  </si>
  <si>
    <t>100000000037032250000113</t>
  </si>
  <si>
    <t>100000000043854777000126</t>
  </si>
  <si>
    <t>1000000000PF9999923</t>
  </si>
  <si>
    <t>105000026601305625000124</t>
  </si>
  <si>
    <t>105000026608012469000152</t>
  </si>
  <si>
    <t>'= OUTROS TRIBUTOS E CONTRIB FEDERAIS A RECOLHER</t>
  </si>
  <si>
    <t>100000000003344768794</t>
  </si>
  <si>
    <t>100000000009083315762</t>
  </si>
  <si>
    <t>100000000010613752775</t>
  </si>
  <si>
    <t>100000000011037627709</t>
  </si>
  <si>
    <t>100000000012099934738</t>
  </si>
  <si>
    <t>100000000012339353726</t>
  </si>
  <si>
    <t>112210103'= FATURAS/DUPL A REC - ESTOQUES PROPRIOS08237411000107</t>
  </si>
  <si>
    <t>113110103'= VIAGENS - ADIANTAMENTO03344768794</t>
  </si>
  <si>
    <t>113110103'= VIAGENS - ADIANTAMENTO09495432766</t>
  </si>
  <si>
    <t>113110103'= VIAGENS - ADIANTAMENTO11037627709</t>
  </si>
  <si>
    <t>113110103'= VIAGENS - ADIANTAMENTO12099934738</t>
  </si>
  <si>
    <t>113210200'= ICMS A RECUPERAR / COMPENSARSEM INFORMACAO</t>
  </si>
  <si>
    <t>113211300'= COFINS A RECUPERAR / COMPENSARSEM INFORMACAO</t>
  </si>
  <si>
    <t>113211400'= PIS/PASEP A RECUPERAR/COMPENSAR1000000000</t>
  </si>
  <si>
    <t>113211400'= PIS/PASEP A RECUPERAR/COMPENSARSEM INFORMACAO</t>
  </si>
  <si>
    <t>121210603'= DEPOSITOS JUDICIAIS EFETUADOSPF9999923</t>
  </si>
  <si>
    <t>121210605'= DEPOSITO EFETUADO P/INTERPOSICAO DE RECURSOSPF9999923</t>
  </si>
  <si>
    <t>123110701'= BENS MOVEIS EM ELABORACAO08012469000152</t>
  </si>
  <si>
    <t>123110701'= BENS MOVEIS EM ELABORACAO29080486000105</t>
  </si>
  <si>
    <t>213110400'= CONTAS A PAGAR CREDORES NACIONAIS07358761000169</t>
  </si>
  <si>
    <t>213110400'= CONTAS A PAGAR CREDORES NACIONAIS07358761001645</t>
  </si>
  <si>
    <t>213110400'= CONTAS A PAGAR CREDORES NACIONAIS100000000000331788007202</t>
  </si>
  <si>
    <t>213110400'= CONTAS A PAGAR CREDORES NACIONAIS100000000000957796000175</t>
  </si>
  <si>
    <t>213110400'= CONTAS A PAGAR CREDORES NACIONAIS100000000001797423000147</t>
  </si>
  <si>
    <t>213110400'= CONTAS A PAGAR CREDORES NACIONAIS100000000003206164000168</t>
  </si>
  <si>
    <t>213110400'= CONTAS A PAGAR CREDORES NACIONAIS100000000005151518000140</t>
  </si>
  <si>
    <t>213110400'= CONTAS A PAGAR CREDORES NACIONAIS100000000010619499000335</t>
  </si>
  <si>
    <t>213110400'= CONTAS A PAGAR CREDORES NACIONAIS100000000012772138000198</t>
  </si>
  <si>
    <t>213110400'= CONTAS A PAGAR CREDORES NACIONAIS100000000013080862000113</t>
  </si>
  <si>
    <t>213110400'= CONTAS A PAGAR CREDORES NACIONAIS100000000016944219000189</t>
  </si>
  <si>
    <t>213110400'= CONTAS A PAGAR CREDORES NACIONAIS100000000023086591000167</t>
  </si>
  <si>
    <t>213110400'= CONTAS A PAGAR CREDORES NACIONAIS100000000030620694000120</t>
  </si>
  <si>
    <t>213110400'= CONTAS A PAGAR CREDORES NACIONAIS100000000032394410000150</t>
  </si>
  <si>
    <t>213110400'= CONTAS A PAGAR CREDORES NACIONAIS100000000037032250000113</t>
  </si>
  <si>
    <t>213110400'= CONTAS A PAGAR CREDORES NACIONAIS100000000037760066000190</t>
  </si>
  <si>
    <t>213110400'= CONTAS A PAGAR CREDORES NACIONAIS100000000043854777000126</t>
  </si>
  <si>
    <t>213110400'= CONTAS A PAGAR CREDORES NACIONAIS100000000060954161000146</t>
  </si>
  <si>
    <t>213110400'= CONTAS A PAGAR CREDORES NACIONAIS100000000062958491000135</t>
  </si>
  <si>
    <t>213110400'= CONTAS A PAGAR CREDORES NACIONAIS100000000067845305000175</t>
  </si>
  <si>
    <t>213110400'= CONTAS A PAGAR CREDORES NACIONAIS100000000078626363000124</t>
  </si>
  <si>
    <t>213110400'= CONTAS A PAGAR CREDORES NACIONAIS1000000000PF9999923</t>
  </si>
  <si>
    <t>213110400'= CONTAS A PAGAR CREDORES NACIONAIS105000026601238801000152</t>
  </si>
  <si>
    <t>213110400'= CONTAS A PAGAR CREDORES NACIONAIS105000026601305625000124</t>
  </si>
  <si>
    <t>213110400'= CONTAS A PAGAR CREDORES NACIONAIS105000026604610158000134</t>
  </si>
  <si>
    <t>213110400'= CONTAS A PAGAR CREDORES NACIONAIS105000026608012469000152</t>
  </si>
  <si>
    <t>213110400'= CONTAS A PAGAR CREDORES NACIONAIS105000026617603733000113</t>
  </si>
  <si>
    <t>213110400'= CONTAS A PAGAR CREDORES NACIONAIS105000026622261840000140</t>
  </si>
  <si>
    <t>213110400'= CONTAS A PAGAR CREDORES NACIONAIS105000026642800463000692</t>
  </si>
  <si>
    <t>213110400'= CONTAS A PAGAR CREDORES NACIONAIS29067296000140</t>
  </si>
  <si>
    <t>214119900'= OUTROS TRIBUTOS E CONTRIB FEDERAIS A RECOLHER1000000000</t>
  </si>
  <si>
    <t>214119900'= OUTROS TRIBUTOS E CONTRIB FEDERAIS A RECOLHER1050000266</t>
  </si>
  <si>
    <t>218810129'= DEPOSITOS RETIDOS PESSOAL/BENEFICIO A PAGAR100000000005659209793</t>
  </si>
  <si>
    <t>218810447'= DEPOSITOS POR DEVOLUCAO DE VALORES NAO RECLAM149100000007782017750</t>
  </si>
  <si>
    <t>218810447'= DEPOSITOS POR DEVOLUCAO DE VALORES NAO RECLAM149100000011123906777</t>
  </si>
  <si>
    <t>218910200'= DIARIAS A PAGAR100000000003344768794</t>
  </si>
  <si>
    <t>218910200'= DIARIAS A PAGAR100000000009083315762</t>
  </si>
  <si>
    <t>218910200'= DIARIAS A PAGAR100000000009495432766</t>
  </si>
  <si>
    <t>218910200'= DIARIAS A PAGAR100000000010613752775</t>
  </si>
  <si>
    <t>218910200'= DIARIAS A PAGAR100000000011037627709</t>
  </si>
  <si>
    <t>218910200'= DIARIAS A PAGAR100000000012099934738</t>
  </si>
  <si>
    <t>218910200'= DIARIAS A PAGAR100000000012339353726</t>
  </si>
  <si>
    <t>218913603'= ORDENS BANCARIAS CANCELADAS14919800002023OB805918</t>
  </si>
  <si>
    <t>218913603'= ORDENS BANCARIAS CANCELADAS14919800002024OB000011</t>
  </si>
  <si>
    <t>218913603'= ORDENS BANCARIAS CANCELADAS14919800002024OB000023</t>
  </si>
  <si>
    <t>343910200OUTRAS VARIACOES CAMBIAISSEM INFORMACAO</t>
  </si>
  <si>
    <t>Dívida consolidada</t>
  </si>
  <si>
    <t>Ajuste de exercícios anteriores</t>
  </si>
  <si>
    <t>2.3.1.6 Patrimônio Líquido - Ajuste de exercícios anteriores</t>
  </si>
  <si>
    <t xml:space="preserve">  Ajuste de exercícios anteriores</t>
  </si>
  <si>
    <t>10001335758</t>
  </si>
  <si>
    <t>10037056778</t>
  </si>
  <si>
    <t>12517248761</t>
  </si>
  <si>
    <t>13477071743</t>
  </si>
  <si>
    <t>31289472874</t>
  </si>
  <si>
    <t>60777788772</t>
  </si>
  <si>
    <t>02288055000174</t>
  </si>
  <si>
    <t>100000000003750757000190</t>
  </si>
  <si>
    <t>100000000004298309000756</t>
  </si>
  <si>
    <t>100000000004646573000148</t>
  </si>
  <si>
    <t>100000000005234289000127</t>
  </si>
  <si>
    <t>100000000005344234000170</t>
  </si>
  <si>
    <t>100000000005538148000106</t>
  </si>
  <si>
    <t>100000000007358761000169</t>
  </si>
  <si>
    <t>100000000007710046000143</t>
  </si>
  <si>
    <t>100000000008237411000107</t>
  </si>
  <si>
    <t>100000000008561372000107</t>
  </si>
  <si>
    <t>100000000010656610000100</t>
  </si>
  <si>
    <t>100000000010992676000162</t>
  </si>
  <si>
    <t>100000000019069562000110</t>
  </si>
  <si>
    <t>100000000020050544000175</t>
  </si>
  <si>
    <t>100000000032185480000875</t>
  </si>
  <si>
    <t>100000000032223836000141</t>
  </si>
  <si>
    <t>100000000044073971000137</t>
  </si>
  <si>
    <t>100000000061067906000118</t>
  </si>
  <si>
    <t>100000000066018441000129</t>
  </si>
  <si>
    <t>100000000092690700000254</t>
  </si>
  <si>
    <t>105000026605234289000127</t>
  </si>
  <si>
    <t>29799921000148</t>
  </si>
  <si>
    <t>'= CONTAS A PAGAR CREDORES NACIONAIS -INTRA OFSS</t>
  </si>
  <si>
    <t>1000000000113202</t>
  </si>
  <si>
    <t>100000000012662396776</t>
  </si>
  <si>
    <t>100000000028503351000134</t>
  </si>
  <si>
    <t>100000000001403752524</t>
  </si>
  <si>
    <t>100000000001652326766</t>
  </si>
  <si>
    <t>100000000002505136769</t>
  </si>
  <si>
    <t>100000000005314448726</t>
  </si>
  <si>
    <t>100000000005791053770</t>
  </si>
  <si>
    <t>100000000005977083718</t>
  </si>
  <si>
    <t>100000000007034952752</t>
  </si>
  <si>
    <t>100000000007450725770</t>
  </si>
  <si>
    <t>100000000008403534728</t>
  </si>
  <si>
    <t>100000000008502159780</t>
  </si>
  <si>
    <t>100000000008610700704</t>
  </si>
  <si>
    <t>100000000009621077788</t>
  </si>
  <si>
    <t>100000000009788118798</t>
  </si>
  <si>
    <t>100000000010001335758</t>
  </si>
  <si>
    <t>100000000010029617774</t>
  </si>
  <si>
    <t>100000000010037056778</t>
  </si>
  <si>
    <t>100000000010505533731</t>
  </si>
  <si>
    <t>100000000011485189756</t>
  </si>
  <si>
    <t>100000000012243559706</t>
  </si>
  <si>
    <t>100000000012517248761</t>
  </si>
  <si>
    <t>100000000013069590713</t>
  </si>
  <si>
    <t>100000000013151475728</t>
  </si>
  <si>
    <t>100000000013258665710</t>
  </si>
  <si>
    <t>100000000014524145729</t>
  </si>
  <si>
    <t>100000000046178325134</t>
  </si>
  <si>
    <t>100000000060777788772</t>
  </si>
  <si>
    <t>100000000096080558572</t>
  </si>
  <si>
    <t>105000026605645709748</t>
  </si>
  <si>
    <t>105000026608403534728</t>
  </si>
  <si>
    <t>105000026609537610705</t>
  </si>
  <si>
    <t>105000026610029617774</t>
  </si>
  <si>
    <t>105000026610505533731</t>
  </si>
  <si>
    <t>105000026613045670792</t>
  </si>
  <si>
    <t>105000026613151475728</t>
  </si>
  <si>
    <t>105000026646178325134</t>
  </si>
  <si>
    <t>CONSUMO DE MATERIAL PARA PRODUCAO INDUSTRIAL</t>
  </si>
  <si>
    <t>ENCARGOS FINANCEIROS DEDUTIVEIS</t>
  </si>
  <si>
    <t>OUTRAS PERDAS INVOLUNTARIAS</t>
  </si>
  <si>
    <t>VPD DE PROVISAO P/ RISCOS CIVEIS</t>
  </si>
  <si>
    <t>MULTAS ADMINISTRATIVAS</t>
  </si>
  <si>
    <t>113110103'= VIAGENS - ADIANTAMENTO10037056778</t>
  </si>
  <si>
    <t>113110103'= VIAGENS - ADIANTAMENTO12517248761</t>
  </si>
  <si>
    <t>113110103'= VIAGENS - ADIANTAMENTO31289472874</t>
  </si>
  <si>
    <t>113110103'= VIAGENS - ADIANTAMENTO60777788772</t>
  </si>
  <si>
    <t>211410101'= INSS-CONTRIBUICAO S/ SALARIOS E REMUNERACOES1000000000PF9999905</t>
  </si>
  <si>
    <t>213110400'= CONTAS A PAGAR CREDORES NACIONAIS08012469000152</t>
  </si>
  <si>
    <t>213110400'= CONTAS A PAGAR CREDORES NACIONAIS08925028000141</t>
  </si>
  <si>
    <t>213110400'= CONTAS A PAGAR CREDORES NACIONAIS100000000002887124000328</t>
  </si>
  <si>
    <t>213110400'= CONTAS A PAGAR CREDORES NACIONAIS100000000003428954000198</t>
  </si>
  <si>
    <t>213110400'= CONTAS A PAGAR CREDORES NACIONAIS100000000005143682000105</t>
  </si>
  <si>
    <t>213110400'= CONTAS A PAGAR CREDORES NACIONAIS100000000006034506000106</t>
  </si>
  <si>
    <t>213110400'= CONTAS A PAGAR CREDORES NACIONAIS100000000011037048000190</t>
  </si>
  <si>
    <t>213110400'= CONTAS A PAGAR CREDORES NACIONAIS100000000011782077000187</t>
  </si>
  <si>
    <t>213110400'= CONTAS A PAGAR CREDORES NACIONAIS100000000012639495000182</t>
  </si>
  <si>
    <t>213110400'= CONTAS A PAGAR CREDORES NACIONAIS100000000018593815001088</t>
  </si>
  <si>
    <t>213110400'= CONTAS A PAGAR CREDORES NACIONAIS100000000020050544000175</t>
  </si>
  <si>
    <t>213110400'= CONTAS A PAGAR CREDORES NACIONAIS100000000020704093000142</t>
  </si>
  <si>
    <t>213110400'= CONTAS A PAGAR CREDORES NACIONAIS100000000020915727000106</t>
  </si>
  <si>
    <t>213110400'= CONTAS A PAGAR CREDORES NACIONAIS100000000027691358000164</t>
  </si>
  <si>
    <t>213110400'= CONTAS A PAGAR CREDORES NACIONAIS100000000031154471000188</t>
  </si>
  <si>
    <t>213110400'= CONTAS A PAGAR CREDORES NACIONAIS100000000032627086000173</t>
  </si>
  <si>
    <t>213110400'= CONTAS A PAGAR CREDORES NACIONAIS100000000033147828000126</t>
  </si>
  <si>
    <t>213110400'= CONTAS A PAGAR CREDORES NACIONAIS100000000033681750000125</t>
  </si>
  <si>
    <t>213110400'= CONTAS A PAGAR CREDORES NACIONAIS100000000046906624000173</t>
  </si>
  <si>
    <t>213110400'= CONTAS A PAGAR CREDORES NACIONAIS100000000047389879000179</t>
  </si>
  <si>
    <t>213110400'= CONTAS A PAGAR CREDORES NACIONAIS100000000048175124000134</t>
  </si>
  <si>
    <t>213110400'= CONTAS A PAGAR CREDORES NACIONAIS100000000049299960000193</t>
  </si>
  <si>
    <t>213110400'= CONTAS A PAGAR CREDORES NACIONAIS100000000062624580000145</t>
  </si>
  <si>
    <t>213110400'= CONTAS A PAGAR CREDORES NACIONAIS105000026605075302000304</t>
  </si>
  <si>
    <t>213110400'= CONTAS A PAGAR CREDORES NACIONAIS105000026672357726000197</t>
  </si>
  <si>
    <t>213110400'= CONTAS A PAGAR CREDORES NACIONAIS29799921000148</t>
  </si>
  <si>
    <t>213110400'= CONTAS A PAGAR CREDORES NACIONAIS30194450000123</t>
  </si>
  <si>
    <t>213110400'= CONTAS A PAGAR CREDORES NACIONAIS32185480000875</t>
  </si>
  <si>
    <t>213110400'= CONTAS A PAGAR CREDORES NACIONAIS47389879000179</t>
  </si>
  <si>
    <t>218810114'= PENSAO ALIMENTICIA100000000012138038700</t>
  </si>
  <si>
    <t>218810128'= DEPOSITOS RETIDOS DE FORNECEDORES1000000000PF9999901</t>
  </si>
  <si>
    <t>218810447'= DEPOSITOS POR DEVOLUCAO DE VALORES NAO RECLAM149100000009657205000119</t>
  </si>
  <si>
    <t>218810447'= DEPOSITOS POR DEVOLUCAO DE VALORES NAO RECLAM149100000013781452000108</t>
  </si>
  <si>
    <t>218910200'= DIARIAS A PAGAR100000000001403752524</t>
  </si>
  <si>
    <t>218910200'= DIARIAS A PAGAR100000000002241603708</t>
  </si>
  <si>
    <t>218910200'= DIARIAS A PAGAR100000000009788118798</t>
  </si>
  <si>
    <t>218910200'= DIARIAS A PAGAR100000000010037056778</t>
  </si>
  <si>
    <t>218910200'= DIARIAS A PAGAR100000000012517248761</t>
  </si>
  <si>
    <t>218910200'= DIARIAS A PAGAR100000000031289472874</t>
  </si>
  <si>
    <t>218910200'= DIARIAS A PAGAR100000000060777788772</t>
  </si>
  <si>
    <t>218913603'= ORDENS BANCARIAS CANCELADAS14919800002024OB000327</t>
  </si>
  <si>
    <t>218913603'= ORDENS BANCARIAS CANCELADAS14919800002024OB000422</t>
  </si>
  <si>
    <t>218913603'= ORDENS BANCARIAS CANCELADAS14919800002024OB000430</t>
  </si>
  <si>
    <t>218913603'= ORDENS BANCARIAS CANCELADAS14919800002024OB000431</t>
  </si>
  <si>
    <t>218913603'= ORDENS BANCARIAS CANCELADAS14919800002024OB000435</t>
  </si>
  <si>
    <t>218913603'= ORDENS BANCARIAS CANCELADAS14919800002024OB000511</t>
  </si>
  <si>
    <t>218913603'= ORDENS BANCARIAS CANCELADAS14919800002024OB000717</t>
  </si>
  <si>
    <t>342420400ENCARGOS DE MORASEM INFORMACAO</t>
  </si>
  <si>
    <t>5.2.2.4 Resultado Financeiro [Despesas Financeiras] - Encargos</t>
  </si>
  <si>
    <t>312210100CONTRIBUICOES PREVIDENCIARIAS - INSSSEM INFORMACAO</t>
  </si>
  <si>
    <t>399520100MULTAS ADMINISTRATIVASSEM INFORMACAO</t>
  </si>
  <si>
    <t>399919900OUTRAS VARIACOES PATRIMONIAIS DIMINUTIVASSEM INFORMACAO</t>
  </si>
  <si>
    <t>351120802'= REPASSE DEVOLVIDO</t>
  </si>
  <si>
    <t>04249300722</t>
  </si>
  <si>
    <t>07247347759</t>
  </si>
  <si>
    <t>09551885716</t>
  </si>
  <si>
    <t>10125054726</t>
  </si>
  <si>
    <t>10761818723</t>
  </si>
  <si>
    <t>10986852708</t>
  </si>
  <si>
    <t>11100014799</t>
  </si>
  <si>
    <t>11975532740</t>
  </si>
  <si>
    <t>73638242749</t>
  </si>
  <si>
    <t>'= PRODUTOS ACABADOS</t>
  </si>
  <si>
    <t>39</t>
  </si>
  <si>
    <t>'= FATURAS/DUPLIC A RECEBER - ESTOQUE PROPRIO</t>
  </si>
  <si>
    <t>'= FATURAS/DUPLIC A RECEBER - PRESTACAO SERVICOS</t>
  </si>
  <si>
    <t>121119902</t>
  </si>
  <si>
    <t>* = AJUSTE PERDA PARA CREDITO LIQUIDACAO DUVIDOSA</t>
  </si>
  <si>
    <t>100000000000910509000171</t>
  </si>
  <si>
    <t>100000000003578224000173</t>
  </si>
  <si>
    <t>100000000003656766000389</t>
  </si>
  <si>
    <t>100000000003773700008353</t>
  </si>
  <si>
    <t>100000000004872241000181</t>
  </si>
  <si>
    <t>100000000004889792000158</t>
  </si>
  <si>
    <t>100000000005250796000154</t>
  </si>
  <si>
    <t>100000000005573756000143</t>
  </si>
  <si>
    <t>100000000005872814000300</t>
  </si>
  <si>
    <t>100000000007625852000113</t>
  </si>
  <si>
    <t>100000000008783191000117</t>
  </si>
  <si>
    <t>100000000015809115000107</t>
  </si>
  <si>
    <t>100000000018548151000144</t>
  </si>
  <si>
    <t>100000000021592185000140</t>
  </si>
  <si>
    <t>100000000025229713000152</t>
  </si>
  <si>
    <t>100000000029592087000115</t>
  </si>
  <si>
    <t>100000000032865668000198</t>
  </si>
  <si>
    <t>100000000033641663000144</t>
  </si>
  <si>
    <t>100000000033746475000180</t>
  </si>
  <si>
    <t>100000000036026560000162</t>
  </si>
  <si>
    <t>100000000042366302000128</t>
  </si>
  <si>
    <t>100000000043919968000986</t>
  </si>
  <si>
    <t>100000000045872579000110</t>
  </si>
  <si>
    <t>100000000050892934000153</t>
  </si>
  <si>
    <t>100000000061055661000109</t>
  </si>
  <si>
    <t>100000000061074175000138</t>
  </si>
  <si>
    <t>105000026600604122000197</t>
  </si>
  <si>
    <t>105000026600910509000171</t>
  </si>
  <si>
    <t>105000026602016558000190</t>
  </si>
  <si>
    <t>105000026607710046000143</t>
  </si>
  <si>
    <t>105000026608172784000309</t>
  </si>
  <si>
    <t>105000026608689801000118</t>
  </si>
  <si>
    <t>105000026610656610000100</t>
  </si>
  <si>
    <t>105000026611699534000174</t>
  </si>
  <si>
    <t>105000026611880336000102</t>
  </si>
  <si>
    <t>105000026619069562000110</t>
  </si>
  <si>
    <t>105000026629912565000127</t>
  </si>
  <si>
    <t>105000026632185480000875</t>
  </si>
  <si>
    <t>105000026632683520000132</t>
  </si>
  <si>
    <t>105000026634028316000294</t>
  </si>
  <si>
    <t>305000026600000000000191</t>
  </si>
  <si>
    <t>1000000000115406</t>
  </si>
  <si>
    <t>28438777000402</t>
  </si>
  <si>
    <t>149100000000000000000191</t>
  </si>
  <si>
    <t>100000000003018866797</t>
  </si>
  <si>
    <t>100000000004243088780</t>
  </si>
  <si>
    <t>100000000004416936796</t>
  </si>
  <si>
    <t>100000000007247347759</t>
  </si>
  <si>
    <t>100000000007568732746</t>
  </si>
  <si>
    <t>100000000008352320777</t>
  </si>
  <si>
    <t>100000000008751517795</t>
  </si>
  <si>
    <t>100000000010761818723</t>
  </si>
  <si>
    <t>100000000010980620783</t>
  </si>
  <si>
    <t>100000000010986852708</t>
  </si>
  <si>
    <t>100000000011100014799</t>
  </si>
  <si>
    <t>100000000011146789700</t>
  </si>
  <si>
    <t>100000000011496825748</t>
  </si>
  <si>
    <t>100000000011975532740</t>
  </si>
  <si>
    <t>100000000012179313764</t>
  </si>
  <si>
    <t>100000000012228568759</t>
  </si>
  <si>
    <t>100000000012232702707</t>
  </si>
  <si>
    <t>100000000013151337767</t>
  </si>
  <si>
    <t>100000000014483941712</t>
  </si>
  <si>
    <t>100000000014513251778</t>
  </si>
  <si>
    <t>100000000086704702687</t>
  </si>
  <si>
    <t>100000000097503274700</t>
  </si>
  <si>
    <t>105000026600085062723</t>
  </si>
  <si>
    <t>105000026600345967712</t>
  </si>
  <si>
    <t>105000026601403752524</t>
  </si>
  <si>
    <t>105000026601406066702</t>
  </si>
  <si>
    <t>105000026601455185744</t>
  </si>
  <si>
    <t>105000026601652326766</t>
  </si>
  <si>
    <t>105000026601851133704</t>
  </si>
  <si>
    <t>105000026602051085714</t>
  </si>
  <si>
    <t>105000026602155157738</t>
  </si>
  <si>
    <t>105000026602505136769</t>
  </si>
  <si>
    <t>105000026603248614781</t>
  </si>
  <si>
    <t>105000026603344768794</t>
  </si>
  <si>
    <t>105000026603595051718</t>
  </si>
  <si>
    <t>105000026605282052776</t>
  </si>
  <si>
    <t>105000026605314448726</t>
  </si>
  <si>
    <t>105000026605492202758</t>
  </si>
  <si>
    <t>105000026605519024774</t>
  </si>
  <si>
    <t>105000026605618288737</t>
  </si>
  <si>
    <t>105000026605678774778</t>
  </si>
  <si>
    <t>105000026605791053770</t>
  </si>
  <si>
    <t>105000026605977083718</t>
  </si>
  <si>
    <t>105000026606964465707</t>
  </si>
  <si>
    <t>105000026607034952752</t>
  </si>
  <si>
    <t>105000026607349170742</t>
  </si>
  <si>
    <t>105000026607450725770</t>
  </si>
  <si>
    <t>105000026607454288782</t>
  </si>
  <si>
    <t>105000026607568732746</t>
  </si>
  <si>
    <t>105000026607712093717</t>
  </si>
  <si>
    <t>105000026607808975796</t>
  </si>
  <si>
    <t>105000026607844342714</t>
  </si>
  <si>
    <t>105000026607876820719</t>
  </si>
  <si>
    <t>105000026607887245761</t>
  </si>
  <si>
    <t>105000026608034666769</t>
  </si>
  <si>
    <t>105000026608389037700</t>
  </si>
  <si>
    <t>105000026608471275759</t>
  </si>
  <si>
    <t>105000026608502159780</t>
  </si>
  <si>
    <t>105000026608687718721</t>
  </si>
  <si>
    <t>105000026609083315762</t>
  </si>
  <si>
    <t>105000026609175552795</t>
  </si>
  <si>
    <t>105000026609233861732</t>
  </si>
  <si>
    <t>105000026609409138795</t>
  </si>
  <si>
    <t>105000026609621077788</t>
  </si>
  <si>
    <t>105000026609625244760</t>
  </si>
  <si>
    <t>105000026609715087710</t>
  </si>
  <si>
    <t>105000026609788118798</t>
  </si>
  <si>
    <t>105000026609860243760</t>
  </si>
  <si>
    <t>105000026610037056778</t>
  </si>
  <si>
    <t>105000026610104989750</t>
  </si>
  <si>
    <t>105000026610678049785</t>
  </si>
  <si>
    <t>105000026610748275703</t>
  </si>
  <si>
    <t>105000026610980620783</t>
  </si>
  <si>
    <t>105000026611036758770</t>
  </si>
  <si>
    <t>105000026611103375741</t>
  </si>
  <si>
    <t>105000026611103390708</t>
  </si>
  <si>
    <t>105000026611106048741</t>
  </si>
  <si>
    <t>105000026611146789700</t>
  </si>
  <si>
    <t>105000026611496825748</t>
  </si>
  <si>
    <t>105000026611621224716</t>
  </si>
  <si>
    <t>105000026611882656792</t>
  </si>
  <si>
    <t>105000026611888471719</t>
  </si>
  <si>
    <t>105000026611930765797</t>
  </si>
  <si>
    <t>105000026612010504720</t>
  </si>
  <si>
    <t>105000026612099934738</t>
  </si>
  <si>
    <t>105000026612116849705</t>
  </si>
  <si>
    <t>105000026612178480705</t>
  </si>
  <si>
    <t>105000026612207050718</t>
  </si>
  <si>
    <t>105000026612228568759</t>
  </si>
  <si>
    <t>105000026612360509756</t>
  </si>
  <si>
    <t>105000026612416679775</t>
  </si>
  <si>
    <t>105000026612530156786</t>
  </si>
  <si>
    <t>105000026612609177704</t>
  </si>
  <si>
    <t>105000026612662396776</t>
  </si>
  <si>
    <t>105000026612952461716</t>
  </si>
  <si>
    <t>105000026613069590713</t>
  </si>
  <si>
    <t>105000026613151337767</t>
  </si>
  <si>
    <t>105000026613258665710</t>
  </si>
  <si>
    <t>105000026613333191776</t>
  </si>
  <si>
    <t>105000026613480920764</t>
  </si>
  <si>
    <t>105000026613497946788</t>
  </si>
  <si>
    <t>105000026613668542767</t>
  </si>
  <si>
    <t>105000026613874852709</t>
  </si>
  <si>
    <t>105000026613986385797</t>
  </si>
  <si>
    <t>105000026614134212707</t>
  </si>
  <si>
    <t>105000026614445540773</t>
  </si>
  <si>
    <t>105000026614449976703</t>
  </si>
  <si>
    <t>105000026614461291790</t>
  </si>
  <si>
    <t>105000026614513251778</t>
  </si>
  <si>
    <t>105000026614515368796</t>
  </si>
  <si>
    <t>105000026614524145729</t>
  </si>
  <si>
    <t>105000026614624773721</t>
  </si>
  <si>
    <t>105000026664475867720</t>
  </si>
  <si>
    <t>105000026696080558572</t>
  </si>
  <si>
    <t>105000026697503274700</t>
  </si>
  <si>
    <t>SERV.COMUNICAC.,GRAFICOS E AUDIOVIS.-PJ-INTRA</t>
  </si>
  <si>
    <t>CONTRIBUICAO P/ SERVICO ILUMINACAO PUBLICA</t>
  </si>
  <si>
    <t>CUSTO DOS PRODUTOS VENDIDOS - CPV</t>
  </si>
  <si>
    <t>113110103'= VIAGENS - ADIANTAMENTO04249300722</t>
  </si>
  <si>
    <t>113110103'= VIAGENS - ADIANTAMENTO07247347759</t>
  </si>
  <si>
    <t>113110103'= VIAGENS - ADIANTAMENTO08996420638</t>
  </si>
  <si>
    <t>113110103'= VIAGENS - ADIANTAMENTO10801139759</t>
  </si>
  <si>
    <t>113110103'= VIAGENS - ADIANTAMENTO11359584757</t>
  </si>
  <si>
    <t>113110103'= VIAGENS - ADIANTAMENTO73638242749</t>
  </si>
  <si>
    <t>115610100'= MATERIAIS DE CONSUMO37</t>
  </si>
  <si>
    <t>213110400'= CONTAS A PAGAR CREDORES NACIONAIS100000000003578224000173</t>
  </si>
  <si>
    <t>213110400'= CONTAS A PAGAR CREDORES NACIONAIS100000000003656766000389</t>
  </si>
  <si>
    <t>213110400'= CONTAS A PAGAR CREDORES NACIONAIS100000000003773700000107</t>
  </si>
  <si>
    <t>213110400'= CONTAS A PAGAR CREDORES NACIONAIS100000000003954227000245</t>
  </si>
  <si>
    <t>213110400'= CONTAS A PAGAR CREDORES NACIONAIS100000000005075835000124</t>
  </si>
  <si>
    <t>213110400'= CONTAS A PAGAR CREDORES NACIONAIS100000000005820555000101</t>
  </si>
  <si>
    <t>213110400'= CONTAS A PAGAR CREDORES NACIONAIS100000000006118361000385</t>
  </si>
  <si>
    <t>213110400'= CONTAS A PAGAR CREDORES NACIONAIS100000000006200724000165</t>
  </si>
  <si>
    <t>213110400'= CONTAS A PAGAR CREDORES NACIONAIS100000000007081364000192</t>
  </si>
  <si>
    <t>213110400'= CONTAS A PAGAR CREDORES NACIONAIS100000000007697093000102</t>
  </si>
  <si>
    <t>213110400'= CONTAS A PAGAR CREDORES NACIONAIS100000000009589379000191</t>
  </si>
  <si>
    <t>213110400'= CONTAS A PAGAR CREDORES NACIONAIS100000000019468242000132</t>
  </si>
  <si>
    <t>213110400'= CONTAS A PAGAR CREDORES NACIONAIS100000000027039914000112</t>
  </si>
  <si>
    <t>213110400'= CONTAS A PAGAR CREDORES NACIONAIS100000000029592087000115</t>
  </si>
  <si>
    <t>213110400'= CONTAS A PAGAR CREDORES NACIONAIS100000000030068548000134</t>
  </si>
  <si>
    <t>213110400'= CONTAS A PAGAR CREDORES NACIONAIS100000000040658982000128</t>
  </si>
  <si>
    <t>213110400'= CONTAS A PAGAR CREDORES NACIONAIS100000000051890698000107</t>
  </si>
  <si>
    <t>213110400'= CONTAS A PAGAR CREDORES NACIONAIS100000000068618099000123</t>
  </si>
  <si>
    <t>213110400'= CONTAS A PAGAR CREDORES NACIONAIS100000000082662263000120</t>
  </si>
  <si>
    <t>213110400'= CONTAS A PAGAR CREDORES NACIONAIS105000026600910509000171</t>
  </si>
  <si>
    <t>213110400'= CONTAS A PAGAR CREDORES NACIONAIS105000026605924256000109</t>
  </si>
  <si>
    <t>213110400'= CONTAS A PAGAR CREDORES NACIONAIS105000026608237411000107</t>
  </si>
  <si>
    <t>213110400'= CONTAS A PAGAR CREDORES NACIONAIS105000026619418139000188</t>
  </si>
  <si>
    <t>213110400'= CONTAS A PAGAR CREDORES NACIONAIS105000026628389135000100</t>
  </si>
  <si>
    <t>213110400'= CONTAS A PAGAR CREDORES NACIONAIS105000026647389879000179</t>
  </si>
  <si>
    <t>218810114'= PENSAO ALIMENTICIA100000000008733046751</t>
  </si>
  <si>
    <t>218910200'= DIARIAS A PAGAR100000000003018866797</t>
  </si>
  <si>
    <t>218910200'= DIARIAS A PAGAR100000000004249300722</t>
  </si>
  <si>
    <t>218910200'= DIARIAS A PAGAR100000000007247347759</t>
  </si>
  <si>
    <t>218910200'= DIARIAS A PAGAR100000000008996420638</t>
  </si>
  <si>
    <t>218910200'= DIARIAS A PAGAR100000000009125619713</t>
  </si>
  <si>
    <t>218910200'= DIARIAS A PAGAR100000000010761818723</t>
  </si>
  <si>
    <t>218910200'= DIARIAS A PAGAR100000000010801139759</t>
  </si>
  <si>
    <t>218910200'= DIARIAS A PAGAR100000000010986852708</t>
  </si>
  <si>
    <t>218910200'= DIARIAS A PAGAR100000000011088864775</t>
  </si>
  <si>
    <t>218910200'= DIARIAS A PAGAR100000000011100014799</t>
  </si>
  <si>
    <t>218910200'= DIARIAS A PAGAR100000000011359584757</t>
  </si>
  <si>
    <t>218910200'= DIARIAS A PAGAR100000000011657929744</t>
  </si>
  <si>
    <t>218910200'= DIARIAS A PAGAR100000000073638242749</t>
  </si>
  <si>
    <t>218910200'= DIARIAS A PAGAR100000000077399820759</t>
  </si>
  <si>
    <t>218910200'= DIARIAS A PAGAR105000026601403752524</t>
  </si>
  <si>
    <t>218910200'= DIARIAS A PAGAR105000026601455185744</t>
  </si>
  <si>
    <t>218910200'= DIARIAS A PAGAR105000026602065435739</t>
  </si>
  <si>
    <t>218910200'= DIARIAS A PAGAR105000026603344768794</t>
  </si>
  <si>
    <t>218910200'= DIARIAS A PAGAR105000026606964465707</t>
  </si>
  <si>
    <t>218910200'= DIARIAS A PAGAR105000026607568732746</t>
  </si>
  <si>
    <t>218910200'= DIARIAS A PAGAR105000026609788118798</t>
  </si>
  <si>
    <t>218910200'= DIARIAS A PAGAR105000026610037056778</t>
  </si>
  <si>
    <t>218910200'= DIARIAS A PAGAR105000026610678049785</t>
  </si>
  <si>
    <t>218910200'= DIARIAS A PAGAR105000026611088864775</t>
  </si>
  <si>
    <t>218910200'= DIARIAS A PAGAR105000026611254992731</t>
  </si>
  <si>
    <t>218910200'= DIARIAS A PAGAR105000026612099934738</t>
  </si>
  <si>
    <t>218910200'= DIARIAS A PAGAR105000026612323155750</t>
  </si>
  <si>
    <t>218910200'= DIARIAS A PAGAR105000026612388168783</t>
  </si>
  <si>
    <t>218910200'= DIARIAS A PAGAR105000026612517248761</t>
  </si>
  <si>
    <t>218910200'= DIARIAS A PAGAR105000026613874852709</t>
  </si>
  <si>
    <t>218910200'= DIARIAS A PAGAR105000026614624773721</t>
  </si>
  <si>
    <t>218810447'= DEPOSITOS POR DEVOLUCAO DE VALORES NAO RECLAM149100000031601909000129</t>
  </si>
  <si>
    <t>218810447'= DEPOSITOS POR DEVOLUCAO DE VALORES NAO RECLAM149100000032183231000174</t>
  </si>
  <si>
    <t>218810447'= DEPOSITOS POR DEVOLUCAO DE VALORES NAO RECLAM149100000033923798000100</t>
  </si>
  <si>
    <t>218810447'= DEPOSITOS POR DEVOLUCAO DE VALORES NAO RECLAM149100000087099381768</t>
  </si>
  <si>
    <t>218913603'= ORDENS BANCARIAS CANCELADAS14919800002024OB000766</t>
  </si>
  <si>
    <t>218913603'= ORDENS BANCARIAS CANCELADAS14919800002024OB000767</t>
  </si>
  <si>
    <t>218913603'= ORDENS BANCARIAS CANCELADAS14919800002024OB000768</t>
  </si>
  <si>
    <t>218913603'= ORDENS BANCARIAS CANCELADAS14919800002024OB000775</t>
  </si>
  <si>
    <t>218913603'= ORDENS BANCARIAS CANCELADAS14919800002024OB000790</t>
  </si>
  <si>
    <t>218913603'= ORDENS BANCARIAS CANCELADAS14919800002024OB000793</t>
  </si>
  <si>
    <t>218913603'= ORDENS BANCARIAS CANCELADAS14919800002024OB000796</t>
  </si>
  <si>
    <t>218810122'= RETENCOES - EMPRESTIMOS E FINANCIAMENTOS100000000007207996000150</t>
  </si>
  <si>
    <t>218810122'= RETENCOES - EMPRESTIMOS E FINANCIAMENTOS100000000014388334000199</t>
  </si>
  <si>
    <t>218810122'= RETENCOES - EMPRESTIMOS E FINANCIAMENTOS100000000030680829000143</t>
  </si>
  <si>
    <t>451220100'= TRANSFERENCIAS RECEBIDAS PARA PGTO DE RP3000000000</t>
  </si>
  <si>
    <t>218810128'= DEPOSITOS RETIDOS DE FORNECEDORES100000000011395635000151</t>
  </si>
  <si>
    <t>121110203'= FATURAS/DUPLIC A RECEBER - ESTOQUE PROPRIO01541664000120</t>
  </si>
  <si>
    <t>121110203'= FATURAS/DUPLIC A RECEBER - ESTOQUE PROPRIO03669753000182</t>
  </si>
  <si>
    <t>121110203'= FATURAS/DUPLIC A RECEBER - ESTOQUE PROPRIO05436017000100</t>
  </si>
  <si>
    <t>121110203'= FATURAS/DUPLIC A RECEBER - ESTOQUE PROPRIO33220880000837</t>
  </si>
  <si>
    <t>121110203'= FATURAS/DUPLIC A RECEBER - ESTOQUE PROPRIO33247271001177</t>
  </si>
  <si>
    <t>121110203'= FATURAS/DUPLIC A RECEBER - ESTOQUE PROPRIO40321754000168</t>
  </si>
  <si>
    <t>121110206'= FATURAS/DUPLIC A RECEBER - PRESTACAO SERVICOS02154943001176</t>
  </si>
  <si>
    <t>121110206'= FATURAS/DUPLIC A RECEBER - PRESTACAO SERVICOS02381910000197</t>
  </si>
  <si>
    <t>121110206'= FATURAS/DUPLIC A RECEBER - PRESTACAO SERVICOS03669753000182</t>
  </si>
  <si>
    <t>121110206'= FATURAS/DUPLIC A RECEBER - PRESTACAO SERVICOS04181506000103</t>
  </si>
  <si>
    <t>121110206'= FATURAS/DUPLIC A RECEBER - PRESTACAO SERVICOS10580217000171</t>
  </si>
  <si>
    <t>121110206'= FATURAS/DUPLIC A RECEBER - PRESTACAO SERVICOS33039223000111</t>
  </si>
  <si>
    <t>121110206'= FATURAS/DUPLIC A RECEBER - PRESTACAO SERVICOS33220880000160</t>
  </si>
  <si>
    <t>121110206'= FATURAS/DUPLIC A RECEBER - PRESTACAO SERVICOS33247271000103</t>
  </si>
  <si>
    <t>121119902* = AJUSTE PERDA PARA CREDITO LIQUIDACAO DUVIDOSA121119902</t>
  </si>
  <si>
    <t>1.2.1.2 Ativo Não Circulante - RLP Contas a Receber LP - Produtos</t>
  </si>
  <si>
    <t>1.2.1.3 Ativo Não Circulante - RLP Contas a Receber LP - Serviços</t>
  </si>
  <si>
    <t>1.2.1.4 Ativo Não Circulante - Contas a Receber LP - PCLD</t>
  </si>
  <si>
    <t>361710200AJUSTE PARA PERDAS EM CLIENTESSEM INFORMACAO</t>
  </si>
  <si>
    <t>342110100JUROS DE MORASEM INFORMACAO</t>
  </si>
  <si>
    <t>342110200ENCARGOS DE MORASEM INFORMACAO</t>
  </si>
  <si>
    <t>399550100MULTAS ADMINISTRATIVASSEM INFORMACAO</t>
  </si>
  <si>
    <t>399929900OUTRAS VARIACOES PATRIMONIAIS DIMINUTIVASSEM INFORMACAO</t>
  </si>
  <si>
    <t>As notas explicativas são parte integrante das demonstrações financeiras</t>
  </si>
  <si>
    <t>08673069718</t>
  </si>
  <si>
    <t>09331299710</t>
  </si>
  <si>
    <t>10648769780</t>
  </si>
  <si>
    <t>11257316729</t>
  </si>
  <si>
    <t>92708820710</t>
  </si>
  <si>
    <t>100000000001868396000156</t>
  </si>
  <si>
    <t>100000000020477335000102</t>
  </si>
  <si>
    <t>100000000023566982000189</t>
  </si>
  <si>
    <t>100000000027797268000152</t>
  </si>
  <si>
    <t>100000000062954987000130</t>
  </si>
  <si>
    <t>105000026607028841000156</t>
  </si>
  <si>
    <t>742050</t>
  </si>
  <si>
    <t>100000000000416968000101</t>
  </si>
  <si>
    <t>100000000007450604000189</t>
  </si>
  <si>
    <t>100000000090400888000142</t>
  </si>
  <si>
    <t>100000000005869949718</t>
  </si>
  <si>
    <t>100000000005985523756</t>
  </si>
  <si>
    <t>100000000009331299710</t>
  </si>
  <si>
    <t>100000000009905589759</t>
  </si>
  <si>
    <t>100000000011036758770</t>
  </si>
  <si>
    <t>AUXILIO MORADIA - RGPS</t>
  </si>
  <si>
    <t>213110400'= CONTAS A PAGAR CREDORES NACIONAIS100000000000869228000112</t>
  </si>
  <si>
    <t>213110400'= CONTAS A PAGAR CREDORES NACIONAIS100000000000876539000109</t>
  </si>
  <si>
    <t>213110400'= CONTAS A PAGAR CREDORES NACIONAIS100000000001678208000127</t>
  </si>
  <si>
    <t>213110400'= CONTAS A PAGAR CREDORES NACIONAIS100000000001868396000156</t>
  </si>
  <si>
    <t>213110400'= CONTAS A PAGAR CREDORES NACIONAIS100000000004371929000188</t>
  </si>
  <si>
    <t>213110400'= CONTAS A PAGAR CREDORES NACIONAIS100000000005305004000100</t>
  </si>
  <si>
    <t>213110400'= CONTAS A PAGAR CREDORES NACIONAIS100000000005506560000136</t>
  </si>
  <si>
    <t>213110400'= CONTAS A PAGAR CREDORES NACIONAIS100000000007816574000181</t>
  </si>
  <si>
    <t>213110400'= CONTAS A PAGAR CREDORES NACIONAIS100000000010346806000190</t>
  </si>
  <si>
    <t>213110400'= CONTAS A PAGAR CREDORES NACIONAIS100000000010498974000109</t>
  </si>
  <si>
    <t>213110400'= CONTAS A PAGAR CREDORES NACIONAIS100000000012538254000147</t>
  </si>
  <si>
    <t>213110400'= CONTAS A PAGAR CREDORES NACIONAIS100000000012886951000199</t>
  </si>
  <si>
    <t>213110400'= CONTAS A PAGAR CREDORES NACIONAIS100000000020477335000102</t>
  </si>
  <si>
    <t>213110400'= CONTAS A PAGAR CREDORES NACIONAIS100000000022684792000101</t>
  </si>
  <si>
    <t>213110400'= CONTAS A PAGAR CREDORES NACIONAIS100000000023566982000189</t>
  </si>
  <si>
    <t>213110400'= CONTAS A PAGAR CREDORES NACIONAIS100000000027372218000123</t>
  </si>
  <si>
    <t>213110400'= CONTAS A PAGAR CREDORES NACIONAIS100000000027797268000152</t>
  </si>
  <si>
    <t>213110400'= CONTAS A PAGAR CREDORES NACIONAIS100000000031027527000133</t>
  </si>
  <si>
    <t>213110400'= CONTAS A PAGAR CREDORES NACIONAIS100000000031383201000149</t>
  </si>
  <si>
    <t>213110400'= CONTAS A PAGAR CREDORES NACIONAIS100000000033749893000121</t>
  </si>
  <si>
    <t>213110400'= CONTAS A PAGAR CREDORES NACIONAIS100000000034316074000153</t>
  </si>
  <si>
    <t>213110400'= CONTAS A PAGAR CREDORES NACIONAIS100000000038167983000128</t>
  </si>
  <si>
    <t>213110400'= CONTAS A PAGAR CREDORES NACIONAIS100000000039527817000239</t>
  </si>
  <si>
    <t>213110400'= CONTAS A PAGAR CREDORES NACIONAIS100000000040198038000135</t>
  </si>
  <si>
    <t>213110400'= CONTAS A PAGAR CREDORES NACIONAIS100000000044985829000166</t>
  </si>
  <si>
    <t>213110400'= CONTAS A PAGAR CREDORES NACIONAIS100000000046044053004607</t>
  </si>
  <si>
    <t>213110400'= CONTAS A PAGAR CREDORES NACIONAIS100000000050675317000104</t>
  </si>
  <si>
    <t>213110400'= CONTAS A PAGAR CREDORES NACIONAIS100000000051371877000120</t>
  </si>
  <si>
    <t>213110400'= CONTAS A PAGAR CREDORES NACIONAIS100000000051553063000106</t>
  </si>
  <si>
    <t>213110400'= CONTAS A PAGAR CREDORES NACIONAIS100000000062954987000130</t>
  </si>
  <si>
    <t>213110400'= CONTAS A PAGAR CREDORES NACIONAIS100000000074671991000170</t>
  </si>
  <si>
    <t>213110400'= CONTAS A PAGAR CREDORES NACIONAIS100000000084683671000780</t>
  </si>
  <si>
    <t>213110400'= CONTAS A PAGAR CREDORES NACIONAIS105000026601064786000173</t>
  </si>
  <si>
    <t>213110400'= CONTAS A PAGAR CREDORES NACIONAIS105000026603656766000389</t>
  </si>
  <si>
    <t>213110400'= CONTAS A PAGAR CREDORES NACIONAIS105000026603790717000172</t>
  </si>
  <si>
    <t>213110400'= CONTAS A PAGAR CREDORES NACIONAIS105000026607028841000156</t>
  </si>
  <si>
    <t>213110400'= CONTAS A PAGAR CREDORES NACIONAIS105000026614295832000197</t>
  </si>
  <si>
    <t>213110400'= CONTAS A PAGAR CREDORES NACIONAIS105000026616642867000180</t>
  </si>
  <si>
    <t>213110400'= CONTAS A PAGAR CREDORES NACIONAIS105000026640198038000135</t>
  </si>
  <si>
    <t>213110400'= CONTAS A PAGAR CREDORES NACIONAIS105000026643094407000138</t>
  </si>
  <si>
    <t>213110400'= CONTAS A PAGAR CREDORES NACIONAIS105000026643875492000171</t>
  </si>
  <si>
    <t>213110400'= CONTAS A PAGAR CREDORES NACIONAIS105000026674671991000170</t>
  </si>
  <si>
    <t>218910200'= DIARIAS A PAGAR100000000005869949718</t>
  </si>
  <si>
    <t>218910200'= DIARIAS A PAGAR100000000005985523756</t>
  </si>
  <si>
    <t>218910200'= DIARIAS A PAGAR100000000008673069718</t>
  </si>
  <si>
    <t>218910200'= DIARIAS A PAGAR100000000009331299710</t>
  </si>
  <si>
    <t>218910200'= DIARIAS A PAGAR100000000009905589759</t>
  </si>
  <si>
    <t>218910200'= DIARIAS A PAGAR100000000010648769780</t>
  </si>
  <si>
    <t>218910200'= DIARIAS A PAGAR100000000011036758770</t>
  </si>
  <si>
    <t>218910200'= DIARIAS A PAGAR100000000011257316729</t>
  </si>
  <si>
    <t>218910200'= DIARIAS A PAGAR100000000014489778783</t>
  </si>
  <si>
    <t>218910200'= DIARIAS A PAGAR100000000089238729700</t>
  </si>
  <si>
    <t>218910200'= DIARIAS A PAGAR100000000092708820710</t>
  </si>
  <si>
    <t>113110103'= VIAGENS - ADIANTAMENTO08673069718</t>
  </si>
  <si>
    <t>113110103'= VIAGENS - ADIANTAMENTO09331299710</t>
  </si>
  <si>
    <t>113110103'= VIAGENS - ADIANTAMENTO10648769780</t>
  </si>
  <si>
    <t>113110103'= VIAGENS - ADIANTAMENTO89238729700</t>
  </si>
  <si>
    <t>113110103'= VIAGENS - ADIANTAMENTO92708820710</t>
  </si>
  <si>
    <t>112210103'= FATURAS/DUPL A REC - ESTOQUES PROPRIOS42540211000167</t>
  </si>
  <si>
    <t>112210106'= FATURAS/DUPL A REC - PRESTACAO DE SERVICOS00322818000120</t>
  </si>
  <si>
    <t>213110100'= FORNECEDORES NACIONAIS100000000010656610000100</t>
  </si>
  <si>
    <t>213110100'= FORNECEDORES NACIONAIS100000000010894768000100</t>
  </si>
  <si>
    <t>213110100'= FORNECEDORES NACIONAIS100000000024239418000114</t>
  </si>
  <si>
    <t>213110100'= FORNECEDORES NACIONAIS100000000031964612000128</t>
  </si>
  <si>
    <t>213210400'= CONTAS A PAGAR - CREDORES ESTRANGEIROS100000000000000000000191</t>
  </si>
  <si>
    <t>218810122'= RETENCOES - EMPRESTIMOS E FINANCIAMENTOS100000000000416968000101</t>
  </si>
  <si>
    <t>218810122'= RETENCOES - EMPRESTIMOS E FINANCIAMENTOS100000000007450604000189</t>
  </si>
  <si>
    <t>218810122'= RETENCOES - EMPRESTIMOS E FINANCIAMENTOS100000000090400888000142</t>
  </si>
  <si>
    <t>218810128'= DEPOSITOS RETIDOS DE FORNECEDORES100000000020477335000102</t>
  </si>
  <si>
    <t>218810128'= DEPOSITOS RETIDOS DE FORNECEDORES105000026607028841000156</t>
  </si>
  <si>
    <t>218810447'= DEPOSITOS POR DEVOLUCAO DE VALORES NAO RECLAM149100000003028849000161</t>
  </si>
  <si>
    <t>218810447'= DEPOSITOS POR DEVOLUCAO DE VALORES NAO RECLAM149100000005362569775</t>
  </si>
  <si>
    <t>218913603'= ORDENS BANCARIAS CANCELADAS14919800002024OB001283</t>
  </si>
  <si>
    <t>218913603'= ORDENS BANCARIAS CANCELADAS14919800002024OB001329</t>
  </si>
  <si>
    <t>218913603'= ORDENS BANCARIAS CANCELADAS14919800002024OB001331</t>
  </si>
  <si>
    <t>218913603'= ORDENS BANCARIAS CANCELADAS14919800002024OB001335</t>
  </si>
  <si>
    <t>218810104'= IRRF DEVIDO AO TESOURO NACIONAL105000026600000000000191</t>
  </si>
  <si>
    <t>218110000'= ADIANTAMENTOS DE CLIENTES - CONSOLIDACAO742050</t>
  </si>
  <si>
    <t>2.1.6.7 Obrigações com Clientes - CENTRO DE INTENDÊNCIA TECNO.DA MARINHA SP</t>
  </si>
  <si>
    <t>211410101'= INSS-CONTRIBUICAO S/ SALARIOS E REMUNERACOES510001</t>
  </si>
  <si>
    <t>115110103MERCADORIAS - ESTOQUE POR ATACADOSEM INFORMACAO</t>
  </si>
  <si>
    <t>05280497711</t>
  </si>
  <si>
    <t>05543697708</t>
  </si>
  <si>
    <t>07151818742</t>
  </si>
  <si>
    <t>08021211601</t>
  </si>
  <si>
    <t>08441748748</t>
  </si>
  <si>
    <t>09544432760</t>
  </si>
  <si>
    <t>10930568788</t>
  </si>
  <si>
    <t>11103413775</t>
  </si>
  <si>
    <t>12853103730</t>
  </si>
  <si>
    <t>13786295743</t>
  </si>
  <si>
    <t>38387239704</t>
  </si>
  <si>
    <t>68122799787</t>
  </si>
  <si>
    <t>75718979715</t>
  </si>
  <si>
    <t>23001873000114</t>
  </si>
  <si>
    <t>100000000010733675000101</t>
  </si>
  <si>
    <t>100000000023001873000114</t>
  </si>
  <si>
    <t>100000000032485150000129</t>
  </si>
  <si>
    <t>105000026603020839000180</t>
  </si>
  <si>
    <t>105000026605151333000135</t>
  </si>
  <si>
    <t>105000026640178030000107</t>
  </si>
  <si>
    <t>'= TAXA DE LICENCIAMENTO ANUAL DE VEICULOS</t>
  </si>
  <si>
    <t>100000000005280497711</t>
  </si>
  <si>
    <t>100000000007151818742</t>
  </si>
  <si>
    <t>100000000010930568788</t>
  </si>
  <si>
    <t>100000000068122799787</t>
  </si>
  <si>
    <t>100000000075718979715</t>
  </si>
  <si>
    <t>105000026604243088780</t>
  </si>
  <si>
    <t>OUTROS BENEFICIOS A PESSOAL - RGPS</t>
  </si>
  <si>
    <t>113110103'= VIAGENS - ADIANTAMENTO00605542740</t>
  </si>
  <si>
    <t>113110103'= VIAGENS - ADIANTAMENTO05280497711</t>
  </si>
  <si>
    <t>113110103'= VIAGENS - ADIANTAMENTO05543697708</t>
  </si>
  <si>
    <t>113110103'= VIAGENS - ADIANTAMENTO07151818742</t>
  </si>
  <si>
    <t>113110103'= VIAGENS - ADIANTAMENTO08021211601</t>
  </si>
  <si>
    <t>113110103'= VIAGENS - ADIANTAMENTO08441748748</t>
  </si>
  <si>
    <t>113110103'= VIAGENS - ADIANTAMENTO09053195750</t>
  </si>
  <si>
    <t>113110103'= VIAGENS - ADIANTAMENTO09544432760</t>
  </si>
  <si>
    <t>113110103'= VIAGENS - ADIANTAMENTO10930568788</t>
  </si>
  <si>
    <t>113110103'= VIAGENS - ADIANTAMENTO11103413775</t>
  </si>
  <si>
    <t>113110103'= VIAGENS - ADIANTAMENTO12251989765</t>
  </si>
  <si>
    <t>113110103'= VIAGENS - ADIANTAMENTO12853103730</t>
  </si>
  <si>
    <t>113110103'= VIAGENS - ADIANTAMENTO13786295743</t>
  </si>
  <si>
    <t>113110103'= VIAGENS - ADIANTAMENTO38387239704</t>
  </si>
  <si>
    <t>113110103'= VIAGENS - ADIANTAMENTO68122799787</t>
  </si>
  <si>
    <t>113110103'= VIAGENS - ADIANTAMENTO75718979715</t>
  </si>
  <si>
    <t>113110103'= VIAGENS - ADIANTAMENTO85838047704</t>
  </si>
  <si>
    <t>213110400'= CONTAS A PAGAR CREDORES NACIONAIS100000000000543267000125</t>
  </si>
  <si>
    <t>213110400'= CONTAS A PAGAR CREDORES NACIONAIS100000000001316414000197</t>
  </si>
  <si>
    <t>213110400'= CONTAS A PAGAR CREDORES NACIONAIS100000000003408755000118</t>
  </si>
  <si>
    <t>213110400'= CONTAS A PAGAR CREDORES NACIONAIS100000000003790717000172</t>
  </si>
  <si>
    <t>213110400'= CONTAS A PAGAR CREDORES NACIONAIS100000000004522146000158</t>
  </si>
  <si>
    <t>213110400'= CONTAS A PAGAR CREDORES NACIONAIS100000000005074931000158</t>
  </si>
  <si>
    <t>213110400'= CONTAS A PAGAR CREDORES NACIONAIS100000000005279044000116</t>
  </si>
  <si>
    <t>213110400'= CONTAS A PAGAR CREDORES NACIONAIS100000000005403093000119</t>
  </si>
  <si>
    <t>213110400'= CONTAS A PAGAR CREDORES NACIONAIS100000000007230076000152</t>
  </si>
  <si>
    <t>213110400'= CONTAS A PAGAR CREDORES NACIONAIS100000000008543475000136</t>
  </si>
  <si>
    <t>213110400'= CONTAS A PAGAR CREDORES NACIONAIS100000000009125619713</t>
  </si>
  <si>
    <t>213110400'= CONTAS A PAGAR CREDORES NACIONAIS100000000009666095000151</t>
  </si>
  <si>
    <t>213110400'= CONTAS A PAGAR CREDORES NACIONAIS100000000010498304000184</t>
  </si>
  <si>
    <t>213110400'= CONTAS A PAGAR CREDORES NACIONAIS100000000010733675000101</t>
  </si>
  <si>
    <t>213110400'= CONTAS A PAGAR CREDORES NACIONAIS100000000011319526000155</t>
  </si>
  <si>
    <t>213110400'= CONTAS A PAGAR CREDORES NACIONAIS100000000012240241000278</t>
  </si>
  <si>
    <t>213110400'= CONTAS A PAGAR CREDORES NACIONAIS100000000013624955000161</t>
  </si>
  <si>
    <t>213110400'= CONTAS A PAGAR CREDORES NACIONAIS100000000017281973000572</t>
  </si>
  <si>
    <t>213110400'= CONTAS A PAGAR CREDORES NACIONAIS100000000017722960000168</t>
  </si>
  <si>
    <t>213110400'= CONTAS A PAGAR CREDORES NACIONAIS100000000020666918000181</t>
  </si>
  <si>
    <t>213110400'= CONTAS A PAGAR CREDORES NACIONAIS100000000021000322000100</t>
  </si>
  <si>
    <t>213110400'= CONTAS A PAGAR CREDORES NACIONAIS100000000023001873000114</t>
  </si>
  <si>
    <t>213110400'= CONTAS A PAGAR CREDORES NACIONAIS100000000031964612000128</t>
  </si>
  <si>
    <t>213110400'= CONTAS A PAGAR CREDORES NACIONAIS100000000032485150000129</t>
  </si>
  <si>
    <t>213110400'= CONTAS A PAGAR CREDORES NACIONAIS100000000038597881000142</t>
  </si>
  <si>
    <t>213110400'= CONTAS A PAGAR CREDORES NACIONAIS100000000044006833000135</t>
  </si>
  <si>
    <t>213110400'= CONTAS A PAGAR CREDORES NACIONAIS100000000044339375000156</t>
  </si>
  <si>
    <t>213110400'= CONTAS A PAGAR CREDORES NACIONAIS100000000046422972000175</t>
  </si>
  <si>
    <t>213110400'= CONTAS A PAGAR CREDORES NACIONAIS100000000047968764000139</t>
  </si>
  <si>
    <t>213110400'= CONTAS A PAGAR CREDORES NACIONAIS100000000048205748000157</t>
  </si>
  <si>
    <t>213110400'= CONTAS A PAGAR CREDORES NACIONAIS100000000051931954000159</t>
  </si>
  <si>
    <t>213110400'= CONTAS A PAGAR CREDORES NACIONAIS100000000052556467000116</t>
  </si>
  <si>
    <t>213110400'= CONTAS A PAGAR CREDORES NACIONAIS100000000054934106000191</t>
  </si>
  <si>
    <t>213110400'= CONTAS A PAGAR CREDORES NACIONAIS100000000060815966000109</t>
  </si>
  <si>
    <t>213110400'= CONTAS A PAGAR CREDORES NACIONAIS100000000097427280000150</t>
  </si>
  <si>
    <t>213110400'= CONTAS A PAGAR CREDORES NACIONAIS105000026602421421000111</t>
  </si>
  <si>
    <t>213110400'= CONTAS A PAGAR CREDORES NACIONAIS105000026603020839000180</t>
  </si>
  <si>
    <t>213110400'= CONTAS A PAGAR CREDORES NACIONAIS105000026603117534000190</t>
  </si>
  <si>
    <t>213110400'= CONTAS A PAGAR CREDORES NACIONAIS105000026604522146000158</t>
  </si>
  <si>
    <t>213110400'= CONTAS A PAGAR CREDORES NACIONAIS105000026605151333000135</t>
  </si>
  <si>
    <t>213110400'= CONTAS A PAGAR CREDORES NACIONAIS105000026605344234000170</t>
  </si>
  <si>
    <t>213110400'= CONTAS A PAGAR CREDORES NACIONAIS105000026608824171000651</t>
  </si>
  <si>
    <t>213110400'= CONTAS A PAGAR CREDORES NACIONAIS105000026608824171004304</t>
  </si>
  <si>
    <t>213110400'= CONTAS A PAGAR CREDORES NACIONAIS105000026611319574000143</t>
  </si>
  <si>
    <t>213110400'= CONTAS A PAGAR CREDORES NACIONAIS105000026612966746000133</t>
  </si>
  <si>
    <t>213110400'= CONTAS A PAGAR CREDORES NACIONAIS105000026613034282000190</t>
  </si>
  <si>
    <t>213110400'= CONTAS A PAGAR CREDORES NACIONAIS105000026615318347000154</t>
  </si>
  <si>
    <t>213110400'= CONTAS A PAGAR CREDORES NACIONAIS105000026617281973000572</t>
  </si>
  <si>
    <t>213110400'= CONTAS A PAGAR CREDORES NACIONAIS105000026619041463000200</t>
  </si>
  <si>
    <t>213110400'= CONTAS A PAGAR CREDORES NACIONAIS105000026622315158000193</t>
  </si>
  <si>
    <t>213110400'= CONTAS A PAGAR CREDORES NACIONAIS105000026632485150000129</t>
  </si>
  <si>
    <t>213110400'= CONTAS A PAGAR CREDORES NACIONAIS105000026637032250000113</t>
  </si>
  <si>
    <t>213110400'= CONTAS A PAGAR CREDORES NACIONAIS105000026640178030000107</t>
  </si>
  <si>
    <t>213110400'= CONTAS A PAGAR CREDORES NACIONAIS105000026654934106000191</t>
  </si>
  <si>
    <t>213110400'= CONTAS A PAGAR CREDORES NACIONAIS105000026672368012000184</t>
  </si>
  <si>
    <t>218910200'= DIARIAS A PAGAR100000000000605542740</t>
  </si>
  <si>
    <t>218910200'= DIARIAS A PAGAR100000000004467200541</t>
  </si>
  <si>
    <t>218910200'= DIARIAS A PAGAR100000000005280497711</t>
  </si>
  <si>
    <t>218910200'= DIARIAS A PAGAR100000000005543697708</t>
  </si>
  <si>
    <t>218910200'= DIARIAS A PAGAR100000000007151818742</t>
  </si>
  <si>
    <t>218910200'= DIARIAS A PAGAR100000000007506693739</t>
  </si>
  <si>
    <t>218910200'= DIARIAS A PAGAR100000000008021211601</t>
  </si>
  <si>
    <t>218910200'= DIARIAS A PAGAR100000000008441748748</t>
  </si>
  <si>
    <t>218910200'= DIARIAS A PAGAR100000000009053195750</t>
  </si>
  <si>
    <t>218910200'= DIARIAS A PAGAR100000000009544432760</t>
  </si>
  <si>
    <t>218910200'= DIARIAS A PAGAR100000000010930568788</t>
  </si>
  <si>
    <t>218910200'= DIARIAS A PAGAR100000000011103413775</t>
  </si>
  <si>
    <t>218910200'= DIARIAS A PAGAR100000000012251989765</t>
  </si>
  <si>
    <t>218910200'= DIARIAS A PAGAR100000000012853103730</t>
  </si>
  <si>
    <t>218910200'= DIARIAS A PAGAR100000000013786295743</t>
  </si>
  <si>
    <t>218910200'= DIARIAS A PAGAR100000000038387239704</t>
  </si>
  <si>
    <t>218910200'= DIARIAS A PAGAR100000000068122799787</t>
  </si>
  <si>
    <t>218910200'= DIARIAS A PAGAR100000000075718979715</t>
  </si>
  <si>
    <t>218910200'= DIARIAS A PAGAR100000000085838047704</t>
  </si>
  <si>
    <t>218910200'= DIARIAS A PAGAR105000026602241603708</t>
  </si>
  <si>
    <t>218910200'= DIARIAS A PAGAR105000026604243088780</t>
  </si>
  <si>
    <t>218913603'= ORDENS BANCARIAS CANCELADAS14919800002024OB001936</t>
  </si>
  <si>
    <t>218913603'= ORDENS BANCARIAS CANCELADAS14919800002024OB001997</t>
  </si>
  <si>
    <t>218913603'= ORDENS BANCARIAS CANCELADAS14919800002024OB002044</t>
  </si>
  <si>
    <t>218913603'= ORDENS BANCARIAS CANCELADAS14919800002024OB002551</t>
  </si>
  <si>
    <t>218810447'= DEPOSITOS POR DEVOLUCAO DE VALORES NAO RECLAM149100000004063080000185</t>
  </si>
  <si>
    <t>218810447'= DEPOSITOS POR DEVOLUCAO DE VALORES NAO RECLAM149100000033808260491</t>
  </si>
  <si>
    <t>218810447'= DEPOSITOS POR DEVOLUCAO DE VALORES NAO RECLAM149100000039072657000108</t>
  </si>
  <si>
    <t>112210103'= FATURAS/DUPL A REC - ESTOQUES PROPRIOS03945240000157</t>
  </si>
  <si>
    <t>115610100'= MATERIAIS DE CONSUMO31</t>
  </si>
  <si>
    <t>123110701'= BENS MOVEIS EM ELABORACAO23001873000114</t>
  </si>
  <si>
    <t>213110100'= FORNECEDORES NACIONAIS100000000034776007000111</t>
  </si>
  <si>
    <t>214210600'= TAXA DE LICENCIAMENTO ANUAL DE VEICULOS1050000266</t>
  </si>
  <si>
    <t>218810128'= DEPOSITOS RETIDOS DE FORNECEDORES105000026600000000000191</t>
  </si>
  <si>
    <t>218910200'= DIARIAS A PAGAR113208</t>
  </si>
  <si>
    <t>311310100VENCIMENTOS E SALARIOSSEM INFORMACAO</t>
  </si>
  <si>
    <t>313219900OUTROS BENEFICIOS A PESSOAL - RGPSSEM INFORMACAO</t>
  </si>
  <si>
    <t>111110100</t>
  </si>
  <si>
    <t>111122001</t>
  </si>
  <si>
    <t>111122003</t>
  </si>
  <si>
    <t>113110101</t>
  </si>
  <si>
    <t>113110103</t>
  </si>
  <si>
    <t>00492815771</t>
  </si>
  <si>
    <t>05240128731</t>
  </si>
  <si>
    <t>113110900</t>
  </si>
  <si>
    <t>113210100</t>
  </si>
  <si>
    <t>113210200</t>
  </si>
  <si>
    <t>113210400</t>
  </si>
  <si>
    <t>113210500</t>
  </si>
  <si>
    <t>113211100</t>
  </si>
  <si>
    <t>'= INSS A COMPENSAR</t>
  </si>
  <si>
    <t>1000000000113208</t>
  </si>
  <si>
    <t>113211300</t>
  </si>
  <si>
    <t>113211400</t>
  </si>
  <si>
    <t>113812600</t>
  </si>
  <si>
    <t>115210100</t>
  </si>
  <si>
    <t>115310100</t>
  </si>
  <si>
    <t>IC2023002</t>
  </si>
  <si>
    <t>IC2023003</t>
  </si>
  <si>
    <t>IC2023004</t>
  </si>
  <si>
    <t>IC2023005</t>
  </si>
  <si>
    <t>IC2023006</t>
  </si>
  <si>
    <t>IC2023008</t>
  </si>
  <si>
    <t>IC2023009</t>
  </si>
  <si>
    <t>IC2023010</t>
  </si>
  <si>
    <t>IC2023011</t>
  </si>
  <si>
    <t>IC2023012</t>
  </si>
  <si>
    <t>IC2023013</t>
  </si>
  <si>
    <t>115410100</t>
  </si>
  <si>
    <t>115610100</t>
  </si>
  <si>
    <t>115810500</t>
  </si>
  <si>
    <t>121110203</t>
  </si>
  <si>
    <t>121110206</t>
  </si>
  <si>
    <t>121210601</t>
  </si>
  <si>
    <t>121210603</t>
  </si>
  <si>
    <t>121210605</t>
  </si>
  <si>
    <t>121219802</t>
  </si>
  <si>
    <t>121219806</t>
  </si>
  <si>
    <t>123110701</t>
  </si>
  <si>
    <t>00138806000140</t>
  </si>
  <si>
    <t>123110801</t>
  </si>
  <si>
    <t>123210601</t>
  </si>
  <si>
    <t>123810100</t>
  </si>
  <si>
    <t>123810200</t>
  </si>
  <si>
    <t>123910100</t>
  </si>
  <si>
    <t>123910200</t>
  </si>
  <si>
    <t>124210105</t>
  </si>
  <si>
    <t>124810100</t>
  </si>
  <si>
    <t>211110101</t>
  </si>
  <si>
    <t>211110102</t>
  </si>
  <si>
    <t>211110103</t>
  </si>
  <si>
    <t>211410301</t>
  </si>
  <si>
    <t>211410600</t>
  </si>
  <si>
    <t>211411200</t>
  </si>
  <si>
    <t>211420101</t>
  </si>
  <si>
    <t>213110400</t>
  </si>
  <si>
    <t>100000000004127856000183</t>
  </si>
  <si>
    <t>100000000007470286000118</t>
  </si>
  <si>
    <t>100000000007878237000119</t>
  </si>
  <si>
    <t>100000000009624894000165</t>
  </si>
  <si>
    <t>100000000010380412000158</t>
  </si>
  <si>
    <t>100000000018072608000197</t>
  </si>
  <si>
    <t>100000000022261840000140</t>
  </si>
  <si>
    <t>100000000067423152000178</t>
  </si>
  <si>
    <t>105000026603958504000107</t>
  </si>
  <si>
    <t>105000026607470286000118</t>
  </si>
  <si>
    <t>213120400</t>
  </si>
  <si>
    <t>214110200</t>
  </si>
  <si>
    <t>214110900</t>
  </si>
  <si>
    <t>214111401</t>
  </si>
  <si>
    <t>214119900</t>
  </si>
  <si>
    <t>214121401</t>
  </si>
  <si>
    <t>214210600</t>
  </si>
  <si>
    <t>214310200</t>
  </si>
  <si>
    <t>215210000</t>
  </si>
  <si>
    <t>218110000</t>
  </si>
  <si>
    <t>218810102</t>
  </si>
  <si>
    <t>218810104</t>
  </si>
  <si>
    <t>218810106</t>
  </si>
  <si>
    <t>218810108</t>
  </si>
  <si>
    <t>218810109</t>
  </si>
  <si>
    <t>218810114</t>
  </si>
  <si>
    <t>218810117</t>
  </si>
  <si>
    <t>218810118</t>
  </si>
  <si>
    <t>218810121</t>
  </si>
  <si>
    <t>218810122</t>
  </si>
  <si>
    <t>218810126</t>
  </si>
  <si>
    <t>218810128</t>
  </si>
  <si>
    <t>218810301</t>
  </si>
  <si>
    <t>218810303</t>
  </si>
  <si>
    <t>218810447</t>
  </si>
  <si>
    <t>218910100</t>
  </si>
  <si>
    <t>218910200</t>
  </si>
  <si>
    <t>105000026600492815771</t>
  </si>
  <si>
    <t>105000026604150881782</t>
  </si>
  <si>
    <t>105000026611485189756</t>
  </si>
  <si>
    <t>218910300</t>
  </si>
  <si>
    <t>218912800</t>
  </si>
  <si>
    <t>218913603</t>
  </si>
  <si>
    <t>221410302</t>
  </si>
  <si>
    <t>227110100</t>
  </si>
  <si>
    <t>227410100</t>
  </si>
  <si>
    <t>228912800</t>
  </si>
  <si>
    <t>231220100</t>
  </si>
  <si>
    <t>231220200</t>
  </si>
  <si>
    <t>232120000</t>
  </si>
  <si>
    <t>234120000</t>
  </si>
  <si>
    <t>236120100</t>
  </si>
  <si>
    <t>237220200</t>
  </si>
  <si>
    <t>237220300</t>
  </si>
  <si>
    <t>311210100</t>
  </si>
  <si>
    <t>311210300</t>
  </si>
  <si>
    <t>311210400</t>
  </si>
  <si>
    <t>311210500</t>
  </si>
  <si>
    <t>311210600</t>
  </si>
  <si>
    <t>312220100</t>
  </si>
  <si>
    <t>312310100</t>
  </si>
  <si>
    <t>312410100</t>
  </si>
  <si>
    <t>312510100</t>
  </si>
  <si>
    <t>313110100</t>
  </si>
  <si>
    <t>313210300</t>
  </si>
  <si>
    <t>313210600</t>
  </si>
  <si>
    <t>313219900</t>
  </si>
  <si>
    <t>319110100</t>
  </si>
  <si>
    <t>331110100</t>
  </si>
  <si>
    <t>331110500</t>
  </si>
  <si>
    <t>331110700</t>
  </si>
  <si>
    <t>331110800</t>
  </si>
  <si>
    <t>332210100</t>
  </si>
  <si>
    <t>332210600</t>
  </si>
  <si>
    <t>332310100</t>
  </si>
  <si>
    <t>332310200</t>
  </si>
  <si>
    <t>332310300</t>
  </si>
  <si>
    <t>332310400</t>
  </si>
  <si>
    <t>332310500</t>
  </si>
  <si>
    <t>332310600</t>
  </si>
  <si>
    <t>332310800</t>
  </si>
  <si>
    <t>332310900</t>
  </si>
  <si>
    <t>332311200</t>
  </si>
  <si>
    <t>332311300</t>
  </si>
  <si>
    <t>332319900</t>
  </si>
  <si>
    <t>332320300</t>
  </si>
  <si>
    <t>333110100</t>
  </si>
  <si>
    <t>333110200</t>
  </si>
  <si>
    <t>333210200</t>
  </si>
  <si>
    <t>342310100</t>
  </si>
  <si>
    <t>342310200</t>
  </si>
  <si>
    <t>342410100</t>
  </si>
  <si>
    <t>342410200</t>
  </si>
  <si>
    <t>342420100</t>
  </si>
  <si>
    <t>342420200</t>
  </si>
  <si>
    <t>342420400</t>
  </si>
  <si>
    <t>342550100</t>
  </si>
  <si>
    <t>JUROS DE MORA DE OBRIGACOES PREVIDENCIARIAS</t>
  </si>
  <si>
    <t>342550200</t>
  </si>
  <si>
    <t>MULTA DE MORA DE OBRIGACOES PREVIDENCIARIAS</t>
  </si>
  <si>
    <t>343910101</t>
  </si>
  <si>
    <t>352410100</t>
  </si>
  <si>
    <t>363910100</t>
  </si>
  <si>
    <t>364110100</t>
  </si>
  <si>
    <t>365110100</t>
  </si>
  <si>
    <t>371110500</t>
  </si>
  <si>
    <t>371119900</t>
  </si>
  <si>
    <t>371210100</t>
  </si>
  <si>
    <t>371220100</t>
  </si>
  <si>
    <t>372310100</t>
  </si>
  <si>
    <t>382110100</t>
  </si>
  <si>
    <t>397110100</t>
  </si>
  <si>
    <t>397410100</t>
  </si>
  <si>
    <t>399510100</t>
  </si>
  <si>
    <t>399610100</t>
  </si>
  <si>
    <t>399910100</t>
  </si>
  <si>
    <t>432110100</t>
  </si>
  <si>
    <t>432910600</t>
  </si>
  <si>
    <t>433110100</t>
  </si>
  <si>
    <t>433910700</t>
  </si>
  <si>
    <t>433910900</t>
  </si>
  <si>
    <t>443910101</t>
  </si>
  <si>
    <t>451120200</t>
  </si>
  <si>
    <t>451220100</t>
  </si>
  <si>
    <t>451220300</t>
  </si>
  <si>
    <t>463110100</t>
  </si>
  <si>
    <t>463910100</t>
  </si>
  <si>
    <t>464110100</t>
  </si>
  <si>
    <t>497210100</t>
  </si>
  <si>
    <t>499610200</t>
  </si>
  <si>
    <t>499910100</t>
  </si>
  <si>
    <t>113110103'= VIAGENS - ADIANTAMENTO00492815771</t>
  </si>
  <si>
    <t>113110103'= VIAGENS - ADIANTAMENTO05240128731</t>
  </si>
  <si>
    <t>113110900'= ADIANTAMENTOS A FORNECEDORES03662454000116</t>
  </si>
  <si>
    <t>113121300'= ADIANTAMENTO DE IRPJ E CSLL00000000000191</t>
  </si>
  <si>
    <t>113210400'= IRRF A COMPENSAR1000000000</t>
  </si>
  <si>
    <t>113211100'= INSS A COMPENSAR1000000000113208</t>
  </si>
  <si>
    <t>115310100'= PRODUTOS EM ELABORACAOIC2023002</t>
  </si>
  <si>
    <t>115310100'= PRODUTOS EM ELABORACAOIC2023003</t>
  </si>
  <si>
    <t>115310100'= PRODUTOS EM ELABORACAOIC2023004</t>
  </si>
  <si>
    <t>115310100'= PRODUTOS EM ELABORACAOIC2023005</t>
  </si>
  <si>
    <t>115310100'= PRODUTOS EM ELABORACAOIC2023006</t>
  </si>
  <si>
    <t>115310100'= PRODUTOS EM ELABORACAOIC2023008</t>
  </si>
  <si>
    <t>115310100'= PRODUTOS EM ELABORACAOIC2023009</t>
  </si>
  <si>
    <t>115310100'= PRODUTOS EM ELABORACAOIC2023010</t>
  </si>
  <si>
    <t>115310100'= PRODUTOS EM ELABORACAOIC2023011</t>
  </si>
  <si>
    <t>115310100'= PRODUTOS EM ELABORACAOIC2023012</t>
  </si>
  <si>
    <t>115310100'= PRODUTOS EM ELABORACAOIC2023013</t>
  </si>
  <si>
    <t>123110701'= BENS MOVEIS EM ELABORACAO00138806000140</t>
  </si>
  <si>
    <t>213110400'= CONTAS A PAGAR CREDORES NACIONAIS100000000001426453000147</t>
  </si>
  <si>
    <t>213110400'= CONTAS A PAGAR CREDORES NACIONAIS100000000004127856000183</t>
  </si>
  <si>
    <t>213110400'= CONTAS A PAGAR CREDORES NACIONAIS100000000007470286000118</t>
  </si>
  <si>
    <t>213110400'= CONTAS A PAGAR CREDORES NACIONAIS100000000007878237000119</t>
  </si>
  <si>
    <t>213110400'= CONTAS A PAGAR CREDORES NACIONAIS100000000008964475000100</t>
  </si>
  <si>
    <t>213110400'= CONTAS A PAGAR CREDORES NACIONAIS100000000009055982000193</t>
  </si>
  <si>
    <t>213110400'= CONTAS A PAGAR CREDORES NACIONAIS100000000009624894000165</t>
  </si>
  <si>
    <t>213110400'= CONTAS A PAGAR CREDORES NACIONAIS100000000010380412000158</t>
  </si>
  <si>
    <t>213110400'= CONTAS A PAGAR CREDORES NACIONAIS100000000011477005000126</t>
  </si>
  <si>
    <t>213110400'= CONTAS A PAGAR CREDORES NACIONAIS100000000012007998000135</t>
  </si>
  <si>
    <t>213110400'= CONTAS A PAGAR CREDORES NACIONAIS100000000012244413000109</t>
  </si>
  <si>
    <t>213110400'= CONTAS A PAGAR CREDORES NACIONAIS100000000012794342000100</t>
  </si>
  <si>
    <t>213110400'= CONTAS A PAGAR CREDORES NACIONAIS100000000013332103000109</t>
  </si>
  <si>
    <t>213110400'= CONTAS A PAGAR CREDORES NACIONAIS100000000018072608000197</t>
  </si>
  <si>
    <t>213110400'= CONTAS A PAGAR CREDORES NACIONAIS100000000022261840000140</t>
  </si>
  <si>
    <t>213110400'= CONTAS A PAGAR CREDORES NACIONAIS100000000024933193000100</t>
  </si>
  <si>
    <t>213110400'= CONTAS A PAGAR CREDORES NACIONAIS100000000027169202000207</t>
  </si>
  <si>
    <t>213110400'= CONTAS A PAGAR CREDORES NACIONAIS100000000029302348000387</t>
  </si>
  <si>
    <t>213110400'= CONTAS A PAGAR CREDORES NACIONAIS100000000030478942000140</t>
  </si>
  <si>
    <t>213110400'= CONTAS A PAGAR CREDORES NACIONAIS100000000043540060000100</t>
  </si>
  <si>
    <t>213110400'= CONTAS A PAGAR CREDORES NACIONAIS100000000052103033000160</t>
  </si>
  <si>
    <t>213110400'= CONTAS A PAGAR CREDORES NACIONAIS100000000067423152000178</t>
  </si>
  <si>
    <t>213110400'= CONTAS A PAGAR CREDORES NACIONAIS105000026602120773000137</t>
  </si>
  <si>
    <t>213110400'= CONTAS A PAGAR CREDORES NACIONAIS105000026603427070000119</t>
  </si>
  <si>
    <t>213110400'= CONTAS A PAGAR CREDORES NACIONAIS105000026603662454000116</t>
  </si>
  <si>
    <t>213110400'= CONTAS A PAGAR CREDORES NACIONAIS105000026603958504000107</t>
  </si>
  <si>
    <t>213110400'= CONTAS A PAGAR CREDORES NACIONAIS105000026605682634000195</t>
  </si>
  <si>
    <t>213110400'= CONTAS A PAGAR CREDORES NACIONAIS105000026606118361000385</t>
  </si>
  <si>
    <t>213110400'= CONTAS A PAGAR CREDORES NACIONAIS105000026606185416000108</t>
  </si>
  <si>
    <t>213110400'= CONTAS A PAGAR CREDORES NACIONAIS105000026607470286000118</t>
  </si>
  <si>
    <t>213110400'= CONTAS A PAGAR CREDORES NACIONAIS105000026609055982000193</t>
  </si>
  <si>
    <t>213110400'= CONTAS A PAGAR CREDORES NACIONAIS105000026609144043000115</t>
  </si>
  <si>
    <t>213110400'= CONTAS A PAGAR CREDORES NACIONAIS105000026610353481000172</t>
  </si>
  <si>
    <t>213110400'= CONTAS A PAGAR CREDORES NACIONAIS105000026610409378000369</t>
  </si>
  <si>
    <t>213110400'= CONTAS A PAGAR CREDORES NACIONAIS105000026610825457000199</t>
  </si>
  <si>
    <t>213110400'= CONTAS A PAGAR CREDORES NACIONAIS105000026612158172000177</t>
  </si>
  <si>
    <t>213110400'= CONTAS A PAGAR CREDORES NACIONAIS105000026622639810000125</t>
  </si>
  <si>
    <t>213110400'= CONTAS A PAGAR CREDORES NACIONAIS105000026623001873000114</t>
  </si>
  <si>
    <t>213110400'= CONTAS A PAGAR CREDORES NACIONAIS105000026623417980000128</t>
  </si>
  <si>
    <t>213110400'= CONTAS A PAGAR CREDORES NACIONAIS105000026628660364000117</t>
  </si>
  <si>
    <t>213110400'= CONTAS A PAGAR CREDORES NACIONAIS105000026629506052000116</t>
  </si>
  <si>
    <t>213110400'= CONTAS A PAGAR CREDORES NACIONAIS105000026631094667000124</t>
  </si>
  <si>
    <t>213110400'= CONTAS A PAGAR CREDORES NACIONAIS105000026631383201000149</t>
  </si>
  <si>
    <t>213110400'= CONTAS A PAGAR CREDORES NACIONAIS105000026631927213000197</t>
  </si>
  <si>
    <t>213110400'= CONTAS A PAGAR CREDORES NACIONAIS105000026637913797000128</t>
  </si>
  <si>
    <t>213110400'= CONTAS A PAGAR CREDORES NACIONAIS105000026639719930000135</t>
  </si>
  <si>
    <t>213110400'= CONTAS A PAGAR CREDORES NACIONAIS105000026642366302000128</t>
  </si>
  <si>
    <t>213110400'= CONTAS A PAGAR CREDORES NACIONAIS105000026643231911000132</t>
  </si>
  <si>
    <t>213110400'= CONTAS A PAGAR CREDORES NACIONAIS105000026645403409000197</t>
  </si>
  <si>
    <t>213110400'= CONTAS A PAGAR CREDORES NACIONAIS105000026646422972000175</t>
  </si>
  <si>
    <t>213110400'= CONTAS A PAGAR CREDORES NACIONAIS105000026653940195000116</t>
  </si>
  <si>
    <t>213110400'= CONTAS A PAGAR CREDORES NACIONAIS105000026661478897000158</t>
  </si>
  <si>
    <t>214120200'= IRPJ A RECOLHER - INTRA OFSS1050000266</t>
  </si>
  <si>
    <t>218810447'= DEPOSITOS POR DEVOLUCAO DE VALORES NAO RECLAM149100000009905370722</t>
  </si>
  <si>
    <t>218810447'= DEPOSITOS POR DEVOLUCAO DE VALORES NAO RECLAM149100000048693518000184</t>
  </si>
  <si>
    <t>218910100'= INDENIZACOES, RESTITUICOES E COMPENSACOESPF9999905</t>
  </si>
  <si>
    <t>218910200'= DIARIAS A PAGAR105000026600492815771</t>
  </si>
  <si>
    <t>218910200'= DIARIAS A PAGAR105000026604150881782</t>
  </si>
  <si>
    <t>218910200'= DIARIAS A PAGAR105000026604416936796</t>
  </si>
  <si>
    <t>218910200'= DIARIAS A PAGAR105000026605240128731</t>
  </si>
  <si>
    <t>218910200'= DIARIAS A PAGAR105000026608352320777</t>
  </si>
  <si>
    <t>218910200'= DIARIAS A PAGAR105000026610125054726</t>
  </si>
  <si>
    <t>218910200'= DIARIAS A PAGAR105000026611485189756</t>
  </si>
  <si>
    <t>218910200'= DIARIAS A PAGAR105000026613477071743</t>
  </si>
  <si>
    <t>218910200'= DIARIAS A PAGAR105000026613484367784</t>
  </si>
  <si>
    <t>218910200'= DIARIAS A PAGAR105000026681392524768</t>
  </si>
  <si>
    <t>218913603'= ORDENS BANCARIAS CANCELADAS14919800002024OB002680</t>
  </si>
  <si>
    <t>218913603'= ORDENS BANCARIAS CANCELADAS14919800002024OB002750</t>
  </si>
  <si>
    <t>218913603'= ORDENS BANCARIAS CANCELADAS14919800002024OB002773</t>
  </si>
  <si>
    <t>218913603'= ORDENS BANCARIAS CANCELADAS14919800002024OB002985</t>
  </si>
  <si>
    <t>342550100JUROS DE MORA DE OBRIGACOES PREVIDENCIARIASSEM INFORMACAO</t>
  </si>
  <si>
    <t>342550200MULTA DE MORA DE OBRIGACOES PREVIDENCIARIASSEM INFORMACAO</t>
  </si>
  <si>
    <t>218810447'= DEPOSITOS POR DEVOLUCAO DE VALORES NAO RECLAM149100000007009638713</t>
  </si>
  <si>
    <t>INSS</t>
  </si>
  <si>
    <t>0001260-21.2012.5.01.0461</t>
  </si>
  <si>
    <t>x</t>
  </si>
  <si>
    <t>33000167105558</t>
  </si>
  <si>
    <t>01462772790</t>
  </si>
  <si>
    <t>07598374732</t>
  </si>
  <si>
    <t>09398725797</t>
  </si>
  <si>
    <t>09577155790</t>
  </si>
  <si>
    <t>10486031721</t>
  </si>
  <si>
    <t>11103362763</t>
  </si>
  <si>
    <t>05603740000136</t>
  </si>
  <si>
    <t>62</t>
  </si>
  <si>
    <t>32683520000132</t>
  </si>
  <si>
    <t>100000000002959392000146</t>
  </si>
  <si>
    <t>100000000031291390000200</t>
  </si>
  <si>
    <t>100000000035137403000161</t>
  </si>
  <si>
    <t>100000000047866934000174</t>
  </si>
  <si>
    <t>105000026611395635000151</t>
  </si>
  <si>
    <t>10827182000122</t>
  </si>
  <si>
    <t>100000000001462772790</t>
  </si>
  <si>
    <t>100000000007598374732</t>
  </si>
  <si>
    <t>100000000010486031721</t>
  </si>
  <si>
    <t>105000026601462772790</t>
  </si>
  <si>
    <t>105000026607552841788</t>
  </si>
  <si>
    <t>105000026614061197762</t>
  </si>
  <si>
    <t>105000026668122799787</t>
  </si>
  <si>
    <t>213110400'= CONTAS A PAGAR CREDORES NACIONAIS100000000000441012000151</t>
  </si>
  <si>
    <t>213110400'= CONTAS A PAGAR CREDORES NACIONAIS100000000002436171000193</t>
  </si>
  <si>
    <t>213110400'= CONTAS A PAGAR CREDORES NACIONAIS100000000002959392000146</t>
  </si>
  <si>
    <t>213110400'= CONTAS A PAGAR CREDORES NACIONAIS100000000005358101000152</t>
  </si>
  <si>
    <t>213110400'= CONTAS A PAGAR CREDORES NACIONAIS100000000012059926000131</t>
  </si>
  <si>
    <t>213110400'= CONTAS A PAGAR CREDORES NACIONAIS100000000016756582000170</t>
  </si>
  <si>
    <t>213110400'= CONTAS A PAGAR CREDORES NACIONAIS100000000017155342000345</t>
  </si>
  <si>
    <t>213110400'= CONTAS A PAGAR CREDORES NACIONAIS100000000017526067000167</t>
  </si>
  <si>
    <t>213110400'= CONTAS A PAGAR CREDORES NACIONAIS100000000023417980000128</t>
  </si>
  <si>
    <t>213110400'= CONTAS A PAGAR CREDORES NACIONAIS100000000029506052000116</t>
  </si>
  <si>
    <t>213110400'= CONTAS A PAGAR CREDORES NACIONAIS100000000031291390000200</t>
  </si>
  <si>
    <t>213110400'= CONTAS A PAGAR CREDORES NACIONAIS100000000032168761000143</t>
  </si>
  <si>
    <t>213110400'= CONTAS A PAGAR CREDORES NACIONAIS100000000033534751000147</t>
  </si>
  <si>
    <t>213110400'= CONTAS A PAGAR CREDORES NACIONAIS100000000035137403000161</t>
  </si>
  <si>
    <t>213110400'= CONTAS A PAGAR CREDORES NACIONAIS100000000038235360000145</t>
  </si>
  <si>
    <t>213110400'= CONTAS A PAGAR CREDORES NACIONAIS100000000040520092000155</t>
  </si>
  <si>
    <t>213110400'= CONTAS A PAGAR CREDORES NACIONAIS100000000045527636000124</t>
  </si>
  <si>
    <t>213110400'= CONTAS A PAGAR CREDORES NACIONAIS100000000047866934000174</t>
  </si>
  <si>
    <t>213110400'= CONTAS A PAGAR CREDORES NACIONAIS100000000054238103000113</t>
  </si>
  <si>
    <t>213110400'= CONTAS A PAGAR CREDORES NACIONAIS100000000082429556000162</t>
  </si>
  <si>
    <t>213110400'= CONTAS A PAGAR CREDORES NACIONAIS100000000088630413000281</t>
  </si>
  <si>
    <t>213110400'= CONTAS A PAGAR CREDORES NACIONAIS105000026605538148000106</t>
  </si>
  <si>
    <t>213110400'= CONTAS A PAGAR CREDORES NACIONAIS105000026605603740000136</t>
  </si>
  <si>
    <t>213110400'= CONTAS A PAGAR CREDORES NACIONAIS105000026608491483000186</t>
  </si>
  <si>
    <t>213110400'= CONTAS A PAGAR CREDORES NACIONAIS105000026609154735000144</t>
  </si>
  <si>
    <t>213110400'= CONTAS A PAGAR CREDORES NACIONAIS105000026609642050000147</t>
  </si>
  <si>
    <t>213110400'= CONTAS A PAGAR CREDORES NACIONAIS105000026611395635000151</t>
  </si>
  <si>
    <t>213110400'= CONTAS A PAGAR CREDORES NACIONAIS105000026616616763000100</t>
  </si>
  <si>
    <t>213110400'= CONTAS A PAGAR CREDORES NACIONAIS105000026617155342000345</t>
  </si>
  <si>
    <t>213110400'= CONTAS A PAGAR CREDORES NACIONAIS105000026618548151000144</t>
  </si>
  <si>
    <t>213110400'= CONTAS A PAGAR CREDORES NACIONAIS105000026619381800000128</t>
  </si>
  <si>
    <t>213110400'= CONTAS A PAGAR CREDORES NACIONAIS105000026623791906000177</t>
  </si>
  <si>
    <t>213110400'= CONTAS A PAGAR CREDORES NACIONAIS105000026625310201000116</t>
  </si>
  <si>
    <t>213110400'= CONTAS A PAGAR CREDORES NACIONAIS105000026628144131000161</t>
  </si>
  <si>
    <t>213110400'= CONTAS A PAGAR CREDORES NACIONAIS105000026629354084000143</t>
  </si>
  <si>
    <t>213110400'= CONTAS A PAGAR CREDORES NACIONAIS105000026642910115000163</t>
  </si>
  <si>
    <t>213110400'= CONTAS A PAGAR CREDORES NACIONAIS105000026643730787000150</t>
  </si>
  <si>
    <t>213110400'= CONTAS A PAGAR CREDORES NACIONAIS105000026643843358000512</t>
  </si>
  <si>
    <t>213110400'= CONTAS A PAGAR CREDORES NACIONAIS105000026648011287000181</t>
  </si>
  <si>
    <t>213110400'= CONTAS A PAGAR CREDORES NACIONAIS105000026654238103000113</t>
  </si>
  <si>
    <t>218910200'= DIARIAS A PAGAR100000000001462772790</t>
  </si>
  <si>
    <t>218910200'= DIARIAS A PAGAR100000000007598374732</t>
  </si>
  <si>
    <t>218910200'= DIARIAS A PAGAR100000000009398725797</t>
  </si>
  <si>
    <t>218910200'= DIARIAS A PAGAR100000000009577155790</t>
  </si>
  <si>
    <t>218910200'= DIARIAS A PAGAR100000000010486031721</t>
  </si>
  <si>
    <t>218910200'= DIARIAS A PAGAR105000026601462772790</t>
  </si>
  <si>
    <t>218910200'= DIARIAS A PAGAR105000026607552841788</t>
  </si>
  <si>
    <t>218910200'= DIARIAS A PAGAR105000026608258447700</t>
  </si>
  <si>
    <t>218910200'= DIARIAS A PAGAR105000026609544432760</t>
  </si>
  <si>
    <t>218910200'= DIARIAS A PAGAR105000026610001335758</t>
  </si>
  <si>
    <t>218910200'= DIARIAS A PAGAR105000026611103362763</t>
  </si>
  <si>
    <t>218910200'= DIARIAS A PAGAR105000026614061197762</t>
  </si>
  <si>
    <t>218910200'= DIARIAS A PAGAR105000026668122799787</t>
  </si>
  <si>
    <t>113110103'= VIAGENS - ADIANTAMENTO01462772790</t>
  </si>
  <si>
    <t>113110103'= VIAGENS - ADIANTAMENTO07598374732</t>
  </si>
  <si>
    <t>113110103'= VIAGENS - ADIANTAMENTO08258447700</t>
  </si>
  <si>
    <t>113110103'= VIAGENS - ADIANTAMENTO09398725797</t>
  </si>
  <si>
    <t>113110103'= VIAGENS - ADIANTAMENTO09577155790</t>
  </si>
  <si>
    <t>113110103'= VIAGENS - ADIANTAMENTO10486031721</t>
  </si>
  <si>
    <t>113110103'= VIAGENS - ADIANTAMENTO11103362763</t>
  </si>
  <si>
    <t>112210103'= FATURAS/DUPL A REC - ESTOQUES PROPRIOS33000167105558</t>
  </si>
  <si>
    <t>113110900'= ADIANTAMENTOS A FORNECEDORES05603740000136</t>
  </si>
  <si>
    <t>123110701'= BENS MOVEIS EM ELABORACAO05603740000136</t>
  </si>
  <si>
    <t>123110801'= ESTOQUE INTERNO24</t>
  </si>
  <si>
    <t>123110801'= ESTOQUE INTERNO26</t>
  </si>
  <si>
    <t>123110801'= ESTOQUE INTERNO42</t>
  </si>
  <si>
    <t>218913603'= ORDENS BANCARIAS CANCELADAS14919800002024OB003133</t>
  </si>
  <si>
    <t>218913603'= ORDENS BANCARIAS CANCELADAS14919800002024OB003194</t>
  </si>
  <si>
    <t>218913603'= ORDENS BANCARIAS CANCELADAS14919800002024OB003236</t>
  </si>
  <si>
    <t>218913603'= ORDENS BANCARIAS CANCELADAS14919800002024OB003240</t>
  </si>
  <si>
    <t>218810447'= DEPOSITOS POR DEVOLUCAO DE VALORES NAO RECLAM149100000031418752000109</t>
  </si>
  <si>
    <t>218810447'= DEPOSITOS POR DEVOLUCAO DE VALORES NAO RECLAM149100000032067169000155</t>
  </si>
  <si>
    <t>218810447'= DEPOSITOS POR DEVOLUCAO DE VALORES NAO RECLAM149100000044901119753</t>
  </si>
  <si>
    <t>218810447'= DEPOSITOS POR DEVOLUCAO DE VALORES NAO RECLAM1491000000RB0038166</t>
  </si>
  <si>
    <t>218810128'= DEPOSITOS RETIDOS DE FORNECEDORES100000000002016558000190</t>
  </si>
  <si>
    <t>218810128'= DEPOSITOS RETIDOS DE FORNECEDORES100000000010380412000158</t>
  </si>
  <si>
    <t>218810114'= PENSAO ALIMENTICIA100000000011889363790</t>
  </si>
  <si>
    <t>218810114'= PENSAO ALIMENTICIA100000000017733606713</t>
  </si>
  <si>
    <t>218810122'= RETENCOES - EMPRESTIMOS E FINANCIAMENTOS100000000008071645000127</t>
  </si>
  <si>
    <t>218110000'= ADIANTAMENTOS DE CLIENTES - CONSOLIDACAO10827182000122</t>
  </si>
  <si>
    <t>2.1.6.1 Obrigações com Clientes -  ITAGUAI CONSTRUCOES NAVAIS S/A</t>
  </si>
  <si>
    <t>Itaguaí Construções Navais S/A</t>
  </si>
  <si>
    <t>33000167026410</t>
  </si>
  <si>
    <t>33000167037706</t>
  </si>
  <si>
    <t>33000167037889</t>
  </si>
  <si>
    <t>02483382770</t>
  </si>
  <si>
    <t>05542977790</t>
  </si>
  <si>
    <t>08018062757</t>
  </si>
  <si>
    <t>IC2023007</t>
  </si>
  <si>
    <t>PEPED2007</t>
  </si>
  <si>
    <t>PEPED2021</t>
  </si>
  <si>
    <t>01868396000156</t>
  </si>
  <si>
    <t>03170027000110</t>
  </si>
  <si>
    <t>07028841000156</t>
  </si>
  <si>
    <t>07710046000143</t>
  </si>
  <si>
    <t>100000000014000561000103</t>
  </si>
  <si>
    <t>100000000025258766000100</t>
  </si>
  <si>
    <t>100000000033318780000171</t>
  </si>
  <si>
    <t>100000000035930513000186</t>
  </si>
  <si>
    <t>100000000048011287000181</t>
  </si>
  <si>
    <t>10380412000158</t>
  </si>
  <si>
    <t>105000026610733675000101</t>
  </si>
  <si>
    <t>105000026625258766000100</t>
  </si>
  <si>
    <t>10733675000101</t>
  </si>
  <si>
    <t>11395635000151</t>
  </si>
  <si>
    <t>14000561000103</t>
  </si>
  <si>
    <t>44417768000130</t>
  </si>
  <si>
    <t>57910325000129</t>
  </si>
  <si>
    <t>100000000002483382770</t>
  </si>
  <si>
    <t>100000000005341682645</t>
  </si>
  <si>
    <t>100000000005542977790</t>
  </si>
  <si>
    <t>105000026605985523756</t>
  </si>
  <si>
    <t>105000026607598374732</t>
  </si>
  <si>
    <t>105000026614075506754</t>
  </si>
  <si>
    <t>213110400'= CONTAS A PAGAR CREDORES NACIONAIS01868396000156</t>
  </si>
  <si>
    <t>213110400'= CONTAS A PAGAR CREDORES NACIONAIS03170027000110</t>
  </si>
  <si>
    <t>213110400'= CONTAS A PAGAR CREDORES NACIONAIS07028841000156</t>
  </si>
  <si>
    <t>213110400'= CONTAS A PAGAR CREDORES NACIONAIS07710046000143</t>
  </si>
  <si>
    <t>213110400'= CONTAS A PAGAR CREDORES NACIONAIS100000000000225796000180</t>
  </si>
  <si>
    <t>213110400'= CONTAS A PAGAR CREDORES NACIONAIS100000000004254234000116</t>
  </si>
  <si>
    <t>213110400'= CONTAS A PAGAR CREDORES NACIONAIS100000000005162027000102</t>
  </si>
  <si>
    <t>213110400'= CONTAS A PAGAR CREDORES NACIONAIS100000000009493979000151</t>
  </si>
  <si>
    <t>213110400'= CONTAS A PAGAR CREDORES NACIONAIS100000000014000561000103</t>
  </si>
  <si>
    <t>213110400'= CONTAS A PAGAR CREDORES NACIONAIS100000000025258766000100</t>
  </si>
  <si>
    <t>213110400'= CONTAS A PAGAR CREDORES NACIONAIS100000000028144131000161</t>
  </si>
  <si>
    <t>213110400'= CONTAS A PAGAR CREDORES NACIONAIS100000000029434842000133</t>
  </si>
  <si>
    <t>213110400'= CONTAS A PAGAR CREDORES NACIONAIS100000000030022727000130</t>
  </si>
  <si>
    <t>213110400'= CONTAS A PAGAR CREDORES NACIONAIS100000000031072866000131</t>
  </si>
  <si>
    <t>213110400'= CONTAS A PAGAR CREDORES NACIONAIS100000000032705548000123</t>
  </si>
  <si>
    <t>213110400'= CONTAS A PAGAR CREDORES NACIONAIS100000000033318780000171</t>
  </si>
  <si>
    <t>213110400'= CONTAS A PAGAR CREDORES NACIONAIS100000000035930513000186</t>
  </si>
  <si>
    <t>213110400'= CONTAS A PAGAR CREDORES NACIONAIS100000000043730787000150</t>
  </si>
  <si>
    <t>213110400'= CONTAS A PAGAR CREDORES NACIONAIS100000000044333497000135</t>
  </si>
  <si>
    <t>213110400'= CONTAS A PAGAR CREDORES NACIONAIS100000000048011287000181</t>
  </si>
  <si>
    <t>213110400'= CONTAS A PAGAR CREDORES NACIONAIS100000000086781069000115</t>
  </si>
  <si>
    <t>213110400'= CONTAS A PAGAR CREDORES NACIONAIS10380412000158</t>
  </si>
  <si>
    <t>213110400'= CONTAS A PAGAR CREDORES NACIONAIS105000026602670648000109</t>
  </si>
  <si>
    <t>213110400'= CONTAS A PAGAR CREDORES NACIONAIS105000026603237583006440</t>
  </si>
  <si>
    <t>213110400'= CONTAS A PAGAR CREDORES NACIONAIS105000026604471096000127</t>
  </si>
  <si>
    <t>213110400'= CONTAS A PAGAR CREDORES NACIONAIS105000026604642375000106</t>
  </si>
  <si>
    <t>213110400'= CONTAS A PAGAR CREDORES NACIONAIS105000026609362098000100</t>
  </si>
  <si>
    <t>213110400'= CONTAS A PAGAR CREDORES NACIONAIS105000026610733675000101</t>
  </si>
  <si>
    <t>213110400'= CONTAS A PAGAR CREDORES NACIONAIS105000026617604056000158</t>
  </si>
  <si>
    <t>213110400'= CONTAS A PAGAR CREDORES NACIONAIS105000026623566982000189</t>
  </si>
  <si>
    <t>213110400'= CONTAS A PAGAR CREDORES NACIONAIS105000026624777932000103</t>
  </si>
  <si>
    <t>213110400'= CONTAS A PAGAR CREDORES NACIONAIS105000026625258766000100</t>
  </si>
  <si>
    <t>213110400'= CONTAS A PAGAR CREDORES NACIONAIS105000026640263170000850</t>
  </si>
  <si>
    <t>213110400'= CONTAS A PAGAR CREDORES NACIONAIS105000026645924535000197</t>
  </si>
  <si>
    <t>213110400'= CONTAS A PAGAR CREDORES NACIONAIS105000026650889102000188</t>
  </si>
  <si>
    <t>213110400'= CONTAS A PAGAR CREDORES NACIONAIS10733675000101</t>
  </si>
  <si>
    <t>213110400'= CONTAS A PAGAR CREDORES NACIONAIS11395635000151</t>
  </si>
  <si>
    <t>213110400'= CONTAS A PAGAR CREDORES NACIONAIS14000561000103</t>
  </si>
  <si>
    <t>213110400'= CONTAS A PAGAR CREDORES NACIONAIS23001873000114</t>
  </si>
  <si>
    <t>213110400'= CONTAS A PAGAR CREDORES NACIONAIS29799921000490</t>
  </si>
  <si>
    <t>213110400'= CONTAS A PAGAR CREDORES NACIONAIS44417768000130</t>
  </si>
  <si>
    <t>213110400'= CONTAS A PAGAR CREDORES NACIONAIS57910325000129</t>
  </si>
  <si>
    <t>218910200'= DIARIAS A PAGAR100000000002483382770</t>
  </si>
  <si>
    <t>218910200'= DIARIAS A PAGAR100000000005341682645</t>
  </si>
  <si>
    <t>218910200'= DIARIAS A PAGAR100000000005542977790</t>
  </si>
  <si>
    <t>218910200'= DIARIAS A PAGAR100000000008018062757</t>
  </si>
  <si>
    <t>218910200'= DIARIAS A PAGAR105000026605985523756</t>
  </si>
  <si>
    <t>218910200'= DIARIAS A PAGAR105000026607598374732</t>
  </si>
  <si>
    <t>218910200'= DIARIAS A PAGAR105000026608018062757</t>
  </si>
  <si>
    <t>218910200'= DIARIAS A PAGAR105000026610930568788</t>
  </si>
  <si>
    <t>218910200'= DIARIAS A PAGAR105000026612339353726</t>
  </si>
  <si>
    <t>218910200'= DIARIAS A PAGAR105000026614075506754</t>
  </si>
  <si>
    <t>218910200'= DIARIAS A PAGAR105000026690941594734</t>
  </si>
  <si>
    <t>218810128'= DEPOSITOS RETIDOS DE FORNECEDORES100000000009632388000118</t>
  </si>
  <si>
    <t>218810128'= DEPOSITOS RETIDOS DE FORNECEDORES100000000010733675000101</t>
  </si>
  <si>
    <t>218810128'= DEPOSITOS RETIDOS DE FORNECEDORES100000000043843358000512</t>
  </si>
  <si>
    <t>218810128'= DEPOSITOS RETIDOS DE FORNECEDORES105000026611395635000151</t>
  </si>
  <si>
    <t>218810447'= DEPOSITOS POR DEVOLUCAO DE VALORES NAO RECLAM149100000010816040770</t>
  </si>
  <si>
    <t>218810447'= DEPOSITOS POR DEVOLUCAO DE VALORES NAO RECLAM149100000033136888000143</t>
  </si>
  <si>
    <t>218810447'= DEPOSITOS POR DEVOLUCAO DE VALORES NAO RECLAM149100000047490699000189</t>
  </si>
  <si>
    <t>218913603'= ORDENS BANCARIAS CANCELADAS14919800002024OB003566</t>
  </si>
  <si>
    <t>218913603'= ORDENS BANCARIAS CANCELADAS14919800002024OB003585</t>
  </si>
  <si>
    <t>218913603'= ORDENS BANCARIAS CANCELADAS14919800002024OB003701</t>
  </si>
  <si>
    <t>218913603'= ORDENS BANCARIAS CANCELADAS14919800002024OB004011</t>
  </si>
  <si>
    <t>112210103'= FATURAS/DUPL A REC - ESTOQUES PROPRIOS33000167026410</t>
  </si>
  <si>
    <t>112210103'= FATURAS/DUPL A REC - ESTOQUES PROPRIOS33000167037706</t>
  </si>
  <si>
    <t>112210103'= FATURAS/DUPL A REC - ESTOQUES PROPRIOS33000167037889</t>
  </si>
  <si>
    <t>113110103'= VIAGENS - ADIANTAMENTO02483382770</t>
  </si>
  <si>
    <t>113110103'= VIAGENS - ADIANTAMENTO05542977790</t>
  </si>
  <si>
    <t>113110103'= VIAGENS - ADIANTAMENTO08018062757</t>
  </si>
  <si>
    <t>211410301'= CONTRIBUICAO A ENTIDADES DE PREVIDEN. PRIVADAPEPED2007</t>
  </si>
  <si>
    <t>211410301'= CONTRIBUICAO A ENTIDADES DE PREVIDEN. PRIVADAPEPED2021</t>
  </si>
  <si>
    <t>221410302'= CONTRIBUICAO A ENTIDADES DE PREVIDEN. COMPLEMPEPED2007</t>
  </si>
  <si>
    <t>221410302'= CONTRIBUICAO A ENTIDADES DE PREVIDEN. COMPLEMPEPED2021</t>
  </si>
  <si>
    <t>218810114'= PENSAO ALIMENTICIA100000000012598536754</t>
  </si>
  <si>
    <t>123110801'= ESTOQUE INTERNO04</t>
  </si>
  <si>
    <t>115310100'= PRODUTOS EM ELABORACAOIC2023007</t>
  </si>
  <si>
    <t>111310200</t>
  </si>
  <si>
    <t>'= GARANTIAS</t>
  </si>
  <si>
    <t>149100000010992676000162</t>
  </si>
  <si>
    <t>149100000020477335000102</t>
  </si>
  <si>
    <t>149100000035930513000186</t>
  </si>
  <si>
    <t>33000167004280</t>
  </si>
  <si>
    <t>33000167031503</t>
  </si>
  <si>
    <t>33000167036645</t>
  </si>
  <si>
    <t>14478855897</t>
  </si>
  <si>
    <t>113110105</t>
  </si>
  <si>
    <t>'= SALARIOS E ORDENADOS - PAGAMENTO ANTECIPADO</t>
  </si>
  <si>
    <t>105000026624239418000114</t>
  </si>
  <si>
    <t>05340639000130</t>
  </si>
  <si>
    <t>07470286000118</t>
  </si>
  <si>
    <t>08100057000174</t>
  </si>
  <si>
    <t>100000000052841613000155</t>
  </si>
  <si>
    <t>105000026605295679000107</t>
  </si>
  <si>
    <t>105000026605872814000300</t>
  </si>
  <si>
    <t>105000026607835506000160</t>
  </si>
  <si>
    <t>105000026608100057000174</t>
  </si>
  <si>
    <t>105000026609622294000168</t>
  </si>
  <si>
    <t>105000026610380412000158</t>
  </si>
  <si>
    <t>105000026612520892000130</t>
  </si>
  <si>
    <t>105000026614000561000103</t>
  </si>
  <si>
    <t>105000026614140574000170</t>
  </si>
  <si>
    <t>105000026631291390000200</t>
  </si>
  <si>
    <t>105000026631954621000138</t>
  </si>
  <si>
    <t>105000026632168761000143</t>
  </si>
  <si>
    <t>105000026633318780000171</t>
  </si>
  <si>
    <t>105000026635137403000161</t>
  </si>
  <si>
    <t>105000026636241685000105</t>
  </si>
  <si>
    <t>105000026642270058000103</t>
  </si>
  <si>
    <t>105000026644417768000130</t>
  </si>
  <si>
    <t>105000026645769285000168</t>
  </si>
  <si>
    <t>105000026657055352000161</t>
  </si>
  <si>
    <t>105000026667423152000178</t>
  </si>
  <si>
    <t>12488669000153</t>
  </si>
  <si>
    <t>14140574000170</t>
  </si>
  <si>
    <t>15809115000107</t>
  </si>
  <si>
    <t>19069562000110</t>
  </si>
  <si>
    <t>27372218000123</t>
  </si>
  <si>
    <t>31291390000200</t>
  </si>
  <si>
    <t>42292007000174</t>
  </si>
  <si>
    <t>43197792000220</t>
  </si>
  <si>
    <t>46044053004607</t>
  </si>
  <si>
    <t>214219900</t>
  </si>
  <si>
    <t>'= OUTROS TRIBUTOS E CONTRIB ESTADUAIS A RECOLHE</t>
  </si>
  <si>
    <t>214310100</t>
  </si>
  <si>
    <t>'= ISS A RECOLHER</t>
  </si>
  <si>
    <t>218810131</t>
  </si>
  <si>
    <t>'= GLOSA DE ENCARGOS TRABALHISTAS</t>
  </si>
  <si>
    <t>218810406</t>
  </si>
  <si>
    <t>100000000005877414739</t>
  </si>
  <si>
    <t>100000000012455956792</t>
  </si>
  <si>
    <t>105000026602483382770</t>
  </si>
  <si>
    <t>105000026605341682645</t>
  </si>
  <si>
    <t>105000026605877414739</t>
  </si>
  <si>
    <t>105000026611037627709</t>
  </si>
  <si>
    <t>105000026613900181721</t>
  </si>
  <si>
    <t>105000026614483941712</t>
  </si>
  <si>
    <t>105000026631289472874</t>
  </si>
  <si>
    <t>371140700</t>
  </si>
  <si>
    <t>IMPOSTO S/ CIRCULACAO DE MERCADORIAS E SERV.</t>
  </si>
  <si>
    <t>371150800</t>
  </si>
  <si>
    <t>IMPOSTO SOBRE SERVICOS DE QUALQUER NATUREZA</t>
  </si>
  <si>
    <t>213110400'= CONTAS A PAGAR CREDORES NACIONAIS00138806000140</t>
  </si>
  <si>
    <t>213110400'= CONTAS A PAGAR CREDORES NACIONAIS05340639000130</t>
  </si>
  <si>
    <t>213110400'= CONTAS A PAGAR CREDORES NACIONAIS05603740000136</t>
  </si>
  <si>
    <t>213110400'= CONTAS A PAGAR CREDORES NACIONAIS07470286000118</t>
  </si>
  <si>
    <t>213110400'= CONTAS A PAGAR CREDORES NACIONAIS08100057000174</t>
  </si>
  <si>
    <t>213110400'= CONTAS A PAGAR CREDORES NACIONAIS100000000000331788003134</t>
  </si>
  <si>
    <t>213110400'= CONTAS A PAGAR CREDORES NACIONAIS100000000007835506000160</t>
  </si>
  <si>
    <t>213110400'= CONTAS A PAGAR CREDORES NACIONAIS100000000009452850000103</t>
  </si>
  <si>
    <t>213110400'= CONTAS A PAGAR CREDORES NACIONAIS100000000016942354000195</t>
  </si>
  <si>
    <t>213110400'= CONTAS A PAGAR CREDORES NACIONAIS100000000020493818000109</t>
  </si>
  <si>
    <t>213110400'= CONTAS A PAGAR CREDORES NACIONAIS100000000029180955000230</t>
  </si>
  <si>
    <t>213110400'= CONTAS A PAGAR CREDORES NACIONAIS100000000041454106000142</t>
  </si>
  <si>
    <t>213110400'= CONTAS A PAGAR CREDORES NACIONAIS100000000051091862000108</t>
  </si>
  <si>
    <t>213110400'= CONTAS A PAGAR CREDORES NACIONAIS100000000052841613000155</t>
  </si>
  <si>
    <t>213110400'= CONTAS A PAGAR CREDORES NACIONAIS100000000053940195000116</t>
  </si>
  <si>
    <t>213110400'= CONTAS A PAGAR CREDORES NACIONAIS100000000054374525000116</t>
  </si>
  <si>
    <t>213110400'= CONTAS A PAGAR CREDORES NACIONAIS105000026602529646000196</t>
  </si>
  <si>
    <t>213110400'= CONTAS A PAGAR CREDORES NACIONAIS105000026603302337000141</t>
  </si>
  <si>
    <t>213110400'= CONTAS A PAGAR CREDORES NACIONAIS105000026603407094000106</t>
  </si>
  <si>
    <t>213110400'= CONTAS A PAGAR CREDORES NACIONAIS105000026603578224000173</t>
  </si>
  <si>
    <t>213110400'= CONTAS A PAGAR CREDORES NACIONAIS105000026605017000000118</t>
  </si>
  <si>
    <t>213110400'= CONTAS A PAGAR CREDORES NACIONAIS105000026605279044000116</t>
  </si>
  <si>
    <t>213110400'= CONTAS A PAGAR CREDORES NACIONAIS105000026605295679000107</t>
  </si>
  <si>
    <t>213110400'= CONTAS A PAGAR CREDORES NACIONAIS105000026605762856000118</t>
  </si>
  <si>
    <t>213110400'= CONTAS A PAGAR CREDORES NACIONAIS105000026605872814000300</t>
  </si>
  <si>
    <t>213110400'= CONTAS A PAGAR CREDORES NACIONAIS105000026607835506000160</t>
  </si>
  <si>
    <t>213110400'= CONTAS A PAGAR CREDORES NACIONAIS105000026607885198000187</t>
  </si>
  <si>
    <t>213110400'= CONTAS A PAGAR CREDORES NACIONAIS105000026608100057000174</t>
  </si>
  <si>
    <t>213110400'= CONTAS A PAGAR CREDORES NACIONAIS105000026609622294000168</t>
  </si>
  <si>
    <t>213110400'= CONTAS A PAGAR CREDORES NACIONAIS105000026610175306000132</t>
  </si>
  <si>
    <t>213110400'= CONTAS A PAGAR CREDORES NACIONAIS105000026610380412000158</t>
  </si>
  <si>
    <t>213110400'= CONTAS A PAGAR CREDORES NACIONAIS105000026612520892000130</t>
  </si>
  <si>
    <t>213110400'= CONTAS A PAGAR CREDORES NACIONAIS105000026612858507000160</t>
  </si>
  <si>
    <t>213110400'= CONTAS A PAGAR CREDORES NACIONAIS105000026612999705000143</t>
  </si>
  <si>
    <t>213110400'= CONTAS A PAGAR CREDORES NACIONAIS105000026614000561000103</t>
  </si>
  <si>
    <t>213110400'= CONTAS A PAGAR CREDORES NACIONAIS105000026614140574000170</t>
  </si>
  <si>
    <t>213110400'= CONTAS A PAGAR CREDORES NACIONAIS105000026614617721000150</t>
  </si>
  <si>
    <t>213110400'= CONTAS A PAGAR CREDORES NACIONAIS105000026617526067000167</t>
  </si>
  <si>
    <t>213110400'= CONTAS A PAGAR CREDORES NACIONAIS105000026620050544000175</t>
  </si>
  <si>
    <t>213110400'= CONTAS A PAGAR CREDORES NACIONAIS105000026623092748000167</t>
  </si>
  <si>
    <t>213110400'= CONTAS A PAGAR CREDORES NACIONAIS105000026625229713000152</t>
  </si>
  <si>
    <t>213110400'= CONTAS A PAGAR CREDORES NACIONAIS105000026627039914000112</t>
  </si>
  <si>
    <t>213110400'= CONTAS A PAGAR CREDORES NACIONAIS105000026627797268000152</t>
  </si>
  <si>
    <t>213110400'= CONTAS A PAGAR CREDORES NACIONAIS105000026628477946000162</t>
  </si>
  <si>
    <t>213110400'= CONTAS A PAGAR CREDORES NACIONAIS105000026629180955000230</t>
  </si>
  <si>
    <t>213110400'= CONTAS A PAGAR CREDORES NACIONAIS105000026629935657000122</t>
  </si>
  <si>
    <t>213110400'= CONTAS A PAGAR CREDORES NACIONAIS105000026630933311000174</t>
  </si>
  <si>
    <t>213110400'= CONTAS A PAGAR CREDORES NACIONAIS105000026631291390000200</t>
  </si>
  <si>
    <t>213110400'= CONTAS A PAGAR CREDORES NACIONAIS105000026631954621000138</t>
  </si>
  <si>
    <t>213110400'= CONTAS A PAGAR CREDORES NACIONAIS105000026632168761000143</t>
  </si>
  <si>
    <t>213110400'= CONTAS A PAGAR CREDORES NACIONAIS105000026633318780000171</t>
  </si>
  <si>
    <t>213110400'= CONTAS A PAGAR CREDORES NACIONAIS105000026633325184002243</t>
  </si>
  <si>
    <t>213110400'= CONTAS A PAGAR CREDORES NACIONAIS105000026633402892000106</t>
  </si>
  <si>
    <t>213110400'= CONTAS A PAGAR CREDORES NACIONAIS105000026635137403000161</t>
  </si>
  <si>
    <t>213110400'= CONTAS A PAGAR CREDORES NACIONAIS105000026636241685000105</t>
  </si>
  <si>
    <t>213110400'= CONTAS A PAGAR CREDORES NACIONAIS105000026636940478000149</t>
  </si>
  <si>
    <t>213110400'= CONTAS A PAGAR CREDORES NACIONAIS105000026637629530000103</t>
  </si>
  <si>
    <t>213110400'= CONTAS A PAGAR CREDORES NACIONAIS105000026638318254000125</t>
  </si>
  <si>
    <t>213110400'= CONTAS A PAGAR CREDORES NACIONAIS105000026639527817000239</t>
  </si>
  <si>
    <t>213110400'= CONTAS A PAGAR CREDORES NACIONAIS105000026641454106000142</t>
  </si>
  <si>
    <t>213110400'= CONTAS A PAGAR CREDORES NACIONAIS105000026642270058000103</t>
  </si>
  <si>
    <t>213110400'= CONTAS A PAGAR CREDORES NACIONAIS105000026643197792000220</t>
  </si>
  <si>
    <t>213110400'= CONTAS A PAGAR CREDORES NACIONAIS105000026643854777000126</t>
  </si>
  <si>
    <t>213110400'= CONTAS A PAGAR CREDORES NACIONAIS105000026644417768000130</t>
  </si>
  <si>
    <t>213110400'= CONTAS A PAGAR CREDORES NACIONAIS105000026645769285000168</t>
  </si>
  <si>
    <t>213110400'= CONTAS A PAGAR CREDORES NACIONAIS105000026646044053004607</t>
  </si>
  <si>
    <t>213110400'= CONTAS A PAGAR CREDORES NACIONAIS105000026657055352000161</t>
  </si>
  <si>
    <t>213110400'= CONTAS A PAGAR CREDORES NACIONAIS105000026660396959000110</t>
  </si>
  <si>
    <t>213110400'= CONTAS A PAGAR CREDORES NACIONAIS105000026662958491000135</t>
  </si>
  <si>
    <t>213110400'= CONTAS A PAGAR CREDORES NACIONAIS105000026667423152000178</t>
  </si>
  <si>
    <t>213110400'= CONTAS A PAGAR CREDORES NACIONAIS105000026668976844000106</t>
  </si>
  <si>
    <t>213110400'= CONTAS A PAGAR CREDORES NACIONAIS105000026671208516000174</t>
  </si>
  <si>
    <t>213110400'= CONTAS A PAGAR CREDORES NACIONAIS105000026694984796000299</t>
  </si>
  <si>
    <t>213110400'= CONTAS A PAGAR CREDORES NACIONAIS12240241000197</t>
  </si>
  <si>
    <t>213110400'= CONTAS A PAGAR CREDORES NACIONAIS12305156000160</t>
  </si>
  <si>
    <t>213110400'= CONTAS A PAGAR CREDORES NACIONAIS12488669000153</t>
  </si>
  <si>
    <t>213110400'= CONTAS A PAGAR CREDORES NACIONAIS14140574000170</t>
  </si>
  <si>
    <t>213110400'= CONTAS A PAGAR CREDORES NACIONAIS15454277000161</t>
  </si>
  <si>
    <t>213110400'= CONTAS A PAGAR CREDORES NACIONAIS15809115000107</t>
  </si>
  <si>
    <t>213110400'= CONTAS A PAGAR CREDORES NACIONAIS17227422000105</t>
  </si>
  <si>
    <t>213110400'= CONTAS A PAGAR CREDORES NACIONAIS19069562000110</t>
  </si>
  <si>
    <t>213110400'= CONTAS A PAGAR CREDORES NACIONAIS22261840000140</t>
  </si>
  <si>
    <t>213110400'= CONTAS A PAGAR CREDORES NACIONAIS27372218000123</t>
  </si>
  <si>
    <t>213110400'= CONTAS A PAGAR CREDORES NACIONAIS31291390000200</t>
  </si>
  <si>
    <t>213110400'= CONTAS A PAGAR CREDORES NACIONAIS31978612000187</t>
  </si>
  <si>
    <t>213110400'= CONTAS A PAGAR CREDORES NACIONAIS42292007000174</t>
  </si>
  <si>
    <t>213110400'= CONTAS A PAGAR CREDORES NACIONAIS43197792000220</t>
  </si>
  <si>
    <t>213110400'= CONTAS A PAGAR CREDORES NACIONAIS44386134000168</t>
  </si>
  <si>
    <t>213110400'= CONTAS A PAGAR CREDORES NACIONAIS46044053004607</t>
  </si>
  <si>
    <t>213110400'= CONTAS A PAGAR CREDORES NACIONAIS51371877000120</t>
  </si>
  <si>
    <t>213110400'= CONTAS A PAGAR CREDORES NACIONAIS60613478000208</t>
  </si>
  <si>
    <t>213110400'= CONTAS A PAGAR CREDORES NACIONAIS75086785000166</t>
  </si>
  <si>
    <t>218910200'= DIARIAS A PAGAR100000000005877414739</t>
  </si>
  <si>
    <t>218910200'= DIARIAS A PAGAR100000000012455956792</t>
  </si>
  <si>
    <t>218910200'= DIARIAS A PAGAR100000000014478855897</t>
  </si>
  <si>
    <t>218910200'= DIARIAS A PAGAR100000000055168604749</t>
  </si>
  <si>
    <t>218910200'= DIARIAS A PAGAR105000026602483382770</t>
  </si>
  <si>
    <t>218910200'= DIARIAS A PAGAR105000026602585313719</t>
  </si>
  <si>
    <t>218910200'= DIARIAS A PAGAR105000026605341682645</t>
  </si>
  <si>
    <t>218910200'= DIARIAS A PAGAR105000026605877414739</t>
  </si>
  <si>
    <t>218910200'= DIARIAS A PAGAR105000026609905589759</t>
  </si>
  <si>
    <t>218910200'= DIARIAS A PAGAR105000026611037627709</t>
  </si>
  <si>
    <t>218910200'= DIARIAS A PAGAR105000026613088310720</t>
  </si>
  <si>
    <t>218910200'= DIARIAS A PAGAR105000026613900181721</t>
  </si>
  <si>
    <t>218910200'= DIARIAS A PAGAR105000026614483941712</t>
  </si>
  <si>
    <t>218910200'= DIARIAS A PAGAR105000026631289472874</t>
  </si>
  <si>
    <t>112210103'= FATURAS/DUPL A REC - ESTOQUES PROPRIOS33000167004280</t>
  </si>
  <si>
    <t>112210103'= FATURAS/DUPL A REC - ESTOQUES PROPRIOS33000167031503</t>
  </si>
  <si>
    <t>112210103'= FATURAS/DUPL A REC - ESTOQUES PROPRIOS33000167036645</t>
  </si>
  <si>
    <t>113110103'= VIAGENS - ADIANTAMENTO14478855897</t>
  </si>
  <si>
    <t>113110103'= VIAGENS - ADIANTAMENTO55168604749</t>
  </si>
  <si>
    <t>121119902* = AJUSTE PERDA PARA CREDITO LIQUIDACAO DUVIDOSA121110203</t>
  </si>
  <si>
    <t>121119902* = AJUSTE PERDA PARA CREDITO LIQUIDACAO DUVIDOSA121110206</t>
  </si>
  <si>
    <t>218913603'= ORDENS BANCARIAS CANCELADAS14919800002024OB004366</t>
  </si>
  <si>
    <t>218913603'= ORDENS BANCARIAS CANCELADAS14919800002024OB004608</t>
  </si>
  <si>
    <t>218913603'= ORDENS BANCARIAS CANCELADAS14919800002024OB004609</t>
  </si>
  <si>
    <t>218913603'= ORDENS BANCARIAS CANCELADAS14919800002024OB004610</t>
  </si>
  <si>
    <t>218913603'= ORDENS BANCARIAS CANCELADAS14919800002024OB004611</t>
  </si>
  <si>
    <t>115210100'= PRODUTOS ACABADOSIC2023005</t>
  </si>
  <si>
    <t>123110801'= ESTOQUE INTERNO99</t>
  </si>
  <si>
    <t>213110100'= FORNECEDORES NACIONAIS105000026610656610000100</t>
  </si>
  <si>
    <t>213110100'= FORNECEDORES NACIONAIS105000026624239418000114</t>
  </si>
  <si>
    <t>214119900'= OUTROS TRIBUTOS E CONTRIB FEDERAIS A RECOLHERSEM INFORMACAO</t>
  </si>
  <si>
    <t>218810114'= PENSAO ALIMENTICIA100000000015154365780</t>
  </si>
  <si>
    <t>218810122'= RETENCOES - EMPRESTIMOS E FINANCIAMENTOS100000000033885724000119</t>
  </si>
  <si>
    <t>218810447'= DEPOSITOS POR DEVOLUCAO DE VALORES NAO RECLAM149100000049357408000104</t>
  </si>
  <si>
    <t>371140700IMPOSTO S/ CIRCULACAO DE MERCADORIAS E SERV.SEM INFORMACAO</t>
  </si>
  <si>
    <t>371150800IMPOSTO SOBRE SERVICOS DE QUALQUER NATUREZASEM INFORMACAO</t>
  </si>
  <si>
    <t>443910200OUTRAS VARIACOES CAMBIAISSEM INFORMACAO</t>
  </si>
  <si>
    <t>5.2.1.1 Resultado Financeiro [Receitas Financeiras] - Variação Cambial</t>
  </si>
  <si>
    <t>214310100'= ISS A RECOLHERSEM INFORMACAO</t>
  </si>
  <si>
    <t>218810131'= GLOSA DE ENCARGOS TRABALHISTAS1000000000</t>
  </si>
  <si>
    <t>218810406'= DEPOSITOS RETIDOS DE FORNECEDORES149100000010992676000162</t>
  </si>
  <si>
    <t>218810406'= DEPOSITOS RETIDOS DE FORNECEDORES149100000020477335000102</t>
  </si>
  <si>
    <t>218810406'= DEPOSITOS RETIDOS DE FORNECEDORES149100000035930513000186</t>
  </si>
  <si>
    <t>214219900'= OUTROS TRIBUTOS E CONTRIB ESTADUAIS A RECOLHESEM INFORMACAO</t>
  </si>
  <si>
    <t>113110105'= SALARIOS E ORDENADOS - PAGAMENTO ANTECIPADOPF9999905</t>
  </si>
  <si>
    <t>1.1.5.5 Ativo Circulante - Adiantamento de Pessoal: Adto de Salários</t>
  </si>
  <si>
    <t>111310200'= GARANTIAS149100000010992676000162</t>
  </si>
  <si>
    <t>111310200'= GARANTIAS149100000020477335000102</t>
  </si>
  <si>
    <t>111310200'= GARANTIAS149100000035930513000186</t>
  </si>
  <si>
    <t>1.1.1.4 Ativo Circulante - Disponível: Garantia</t>
  </si>
  <si>
    <t>Os processos individualizados abaixo somam o valor de R$ 1.756 mil, os quais correspondem a 79% (setenta e nove por cento) dos R$ 2.226 mil. A rubrica Demais Processos, por sua vez, soma R$ 470 mil representando os 21% (vinte e um por cento), conforme segue:</t>
  </si>
  <si>
    <t>Os processos individualizados abaixo somam o valor de R$ 10.440 mil, os quais correspondem a 90% (noventa por cento) do total, R$ 11.545 mil. A rubrica Demais Processos, por sua vez, soma o valor de R$ 1.105 mil, representando 10% (dez por cento) do valor total, conforme segue:</t>
  </si>
  <si>
    <t>0100997-55.2016.5.01.0461</t>
  </si>
  <si>
    <t>0192600-30.2007.5.01.0461</t>
  </si>
  <si>
    <t>1491980005990</t>
  </si>
  <si>
    <t>149100000002016558000190</t>
  </si>
  <si>
    <t>149100000007028841000156</t>
  </si>
  <si>
    <t>149100000007710046000143</t>
  </si>
  <si>
    <t>149100000009632388000118</t>
  </si>
  <si>
    <t>149100000010733675000101</t>
  </si>
  <si>
    <t>149100000011395635000151</t>
  </si>
  <si>
    <t>149100000014000561000103</t>
  </si>
  <si>
    <t>149100000029912565000127</t>
  </si>
  <si>
    <t>149100000038503861000165</t>
  </si>
  <si>
    <t>33000167000454</t>
  </si>
  <si>
    <t>33000167029274</t>
  </si>
  <si>
    <t>33000167037102</t>
  </si>
  <si>
    <t>00202759000157</t>
  </si>
  <si>
    <t>01218820713</t>
  </si>
  <si>
    <t>02824380764</t>
  </si>
  <si>
    <t>05346092790</t>
  </si>
  <si>
    <t>07202216760</t>
  </si>
  <si>
    <t>07554006746</t>
  </si>
  <si>
    <t>08320243769</t>
  </si>
  <si>
    <t>09879898710</t>
  </si>
  <si>
    <t>10601806778</t>
  </si>
  <si>
    <t>10931154758</t>
  </si>
  <si>
    <t>11836140711</t>
  </si>
  <si>
    <t>12767938714</t>
  </si>
  <si>
    <t>12835806750</t>
  </si>
  <si>
    <t>13095356714</t>
  </si>
  <si>
    <t>13474582712</t>
  </si>
  <si>
    <t>14056482799</t>
  </si>
  <si>
    <t>14109781760</t>
  </si>
  <si>
    <t>35593067600</t>
  </si>
  <si>
    <t>60069066787</t>
  </si>
  <si>
    <t>82438641720</t>
  </si>
  <si>
    <t>90521749620</t>
  </si>
  <si>
    <t>91137918772</t>
  </si>
  <si>
    <t>IC2023014</t>
  </si>
  <si>
    <t>IC2023016</t>
  </si>
  <si>
    <t>IC2023015</t>
  </si>
  <si>
    <t>IMOC08623</t>
  </si>
  <si>
    <t>PDENC0005</t>
  </si>
  <si>
    <t>'= INSS - CONTRIB SOBRE SALARIOS E REMUNERACOES</t>
  </si>
  <si>
    <t>00100408000135</t>
  </si>
  <si>
    <t>00205734000379</t>
  </si>
  <si>
    <t>00331788000623</t>
  </si>
  <si>
    <t>00331788003134</t>
  </si>
  <si>
    <t>00398099000121</t>
  </si>
  <si>
    <t>00604122000197</t>
  </si>
  <si>
    <t>00910509000171</t>
  </si>
  <si>
    <t>00910509000414</t>
  </si>
  <si>
    <t>01305625000124</t>
  </si>
  <si>
    <t>02421421000111</t>
  </si>
  <si>
    <t>02887124000328</t>
  </si>
  <si>
    <t>02935467000159</t>
  </si>
  <si>
    <t>03020839000180</t>
  </si>
  <si>
    <t>03117534000190</t>
  </si>
  <si>
    <t>03237583006440</t>
  </si>
  <si>
    <t>03251714000160</t>
  </si>
  <si>
    <t>03578224000173</t>
  </si>
  <si>
    <t>03750757000190</t>
  </si>
  <si>
    <t>03773700008353</t>
  </si>
  <si>
    <t>03958504000107</t>
  </si>
  <si>
    <t>04117852000386</t>
  </si>
  <si>
    <t>04127856000183</t>
  </si>
  <si>
    <t>04298309000756</t>
  </si>
  <si>
    <t>04565030000104</t>
  </si>
  <si>
    <t>04602789000101</t>
  </si>
  <si>
    <t>04889792000158</t>
  </si>
  <si>
    <t>04931019000293</t>
  </si>
  <si>
    <t>05017000000118</t>
  </si>
  <si>
    <t>05250796000154</t>
  </si>
  <si>
    <t>05295679000107</t>
  </si>
  <si>
    <t>05538148000106</t>
  </si>
  <si>
    <t>05573756000143</t>
  </si>
  <si>
    <t>05872814000300</t>
  </si>
  <si>
    <t>06034135000154</t>
  </si>
  <si>
    <t>06118361000385</t>
  </si>
  <si>
    <t>06132270000132</t>
  </si>
  <si>
    <t>06913480001806</t>
  </si>
  <si>
    <t>07072293000161</t>
  </si>
  <si>
    <t>07465373000187</t>
  </si>
  <si>
    <t>07543331000117</t>
  </si>
  <si>
    <t>07568908000145</t>
  </si>
  <si>
    <t>07625852000113</t>
  </si>
  <si>
    <t>07906865000160</t>
  </si>
  <si>
    <t>08172784000309</t>
  </si>
  <si>
    <t>08400213000112</t>
  </si>
  <si>
    <t>08561372000107</t>
  </si>
  <si>
    <t>08689801000118</t>
  </si>
  <si>
    <t>09154735000144</t>
  </si>
  <si>
    <t>09199793000194</t>
  </si>
  <si>
    <t>09209275000104</t>
  </si>
  <si>
    <t>09362098000100</t>
  </si>
  <si>
    <t>09452853000139</t>
  </si>
  <si>
    <t>09622294000168</t>
  </si>
  <si>
    <t>100000000000100408000135</t>
  </si>
  <si>
    <t>100000000000138806000140</t>
  </si>
  <si>
    <t>100000000000205734000379</t>
  </si>
  <si>
    <t>100000000000398099000121</t>
  </si>
  <si>
    <t>100000000000910509000414</t>
  </si>
  <si>
    <t>100000000001061021000180</t>
  </si>
  <si>
    <t>100000000003251714000160</t>
  </si>
  <si>
    <t>100000000006034135000154</t>
  </si>
  <si>
    <t>100000000007906865000160</t>
  </si>
  <si>
    <t>100000000008400213000112</t>
  </si>
  <si>
    <t>100000000009199793000194</t>
  </si>
  <si>
    <t>100000000009209275000104</t>
  </si>
  <si>
    <t>100000000009362098000100</t>
  </si>
  <si>
    <t>100000000009485031000154</t>
  </si>
  <si>
    <t>100000000009622294000168</t>
  </si>
  <si>
    <t>100000000011068595000133</t>
  </si>
  <si>
    <t>100000000011315906000111</t>
  </si>
  <si>
    <t>100000000013911455000291</t>
  </si>
  <si>
    <t>100000000016814622000193</t>
  </si>
  <si>
    <t>100000000019209290000106</t>
  </si>
  <si>
    <t>100000000023908807000122</t>
  </si>
  <si>
    <t>100000000024777932000103</t>
  </si>
  <si>
    <t>100000000026692162000121</t>
  </si>
  <si>
    <t>100000000027217586000105</t>
  </si>
  <si>
    <t>100000000029080486000105</t>
  </si>
  <si>
    <t>100000000030460011000115</t>
  </si>
  <si>
    <t>100000000030933311000174</t>
  </si>
  <si>
    <t>100000000031954621000138</t>
  </si>
  <si>
    <t>100000000039545634000165</t>
  </si>
  <si>
    <t>100000000040395162000190</t>
  </si>
  <si>
    <t>100000000041337201000166</t>
  </si>
  <si>
    <t>100000000043093948000141</t>
  </si>
  <si>
    <t>100000000044417768000130</t>
  </si>
  <si>
    <t>100000000044825501000263</t>
  </si>
  <si>
    <t>100000000046359865000140</t>
  </si>
  <si>
    <t>100000000047876552000121</t>
  </si>
  <si>
    <t>100000000048151779000172</t>
  </si>
  <si>
    <t>100000000050891609000176</t>
  </si>
  <si>
    <t>100000000054550030000109</t>
  </si>
  <si>
    <t>100000000055942986000100</t>
  </si>
  <si>
    <t>100000000060613478000119</t>
  </si>
  <si>
    <t>100000000062238043000167</t>
  </si>
  <si>
    <t>100000000092863505000106</t>
  </si>
  <si>
    <t>10430390000193</t>
  </si>
  <si>
    <t>105000026600910509000414</t>
  </si>
  <si>
    <t>105000026601868396000156</t>
  </si>
  <si>
    <t>105000026602887124000328</t>
  </si>
  <si>
    <t>105000026604565030000104</t>
  </si>
  <si>
    <t>105000026605370858000161</t>
  </si>
  <si>
    <t>105000026609209275000104</t>
  </si>
  <si>
    <t>105000026609292002000176</t>
  </si>
  <si>
    <t>105000026609452853000139</t>
  </si>
  <si>
    <t>105000026609471199000100</t>
  </si>
  <si>
    <t>105000026610430390000193</t>
  </si>
  <si>
    <t>105000026610992676000162</t>
  </si>
  <si>
    <t>105000026613751924000171</t>
  </si>
  <si>
    <t>105000026619038976000181</t>
  </si>
  <si>
    <t>105000026620915727000106</t>
  </si>
  <si>
    <t>105000026622122705000114</t>
  </si>
  <si>
    <t>105000026626481299000137</t>
  </si>
  <si>
    <t>105000026626692162000121</t>
  </si>
  <si>
    <t>105000026627490346000171</t>
  </si>
  <si>
    <t>105000026630020705000131</t>
  </si>
  <si>
    <t>105000026632223836000141</t>
  </si>
  <si>
    <t>105000026632319258000222</t>
  </si>
  <si>
    <t>105000026632944113000131</t>
  </si>
  <si>
    <t>105000026633003194000138</t>
  </si>
  <si>
    <t>105000026633345683000178</t>
  </si>
  <si>
    <t>105000026634260596000180</t>
  </si>
  <si>
    <t>105000026636462671000111</t>
  </si>
  <si>
    <t>105000026639685747000166</t>
  </si>
  <si>
    <t>105000026641337201000166</t>
  </si>
  <si>
    <t>105000026643093948000141</t>
  </si>
  <si>
    <t>105000026645872579000110</t>
  </si>
  <si>
    <t>105000026650892934000153</t>
  </si>
  <si>
    <t>105000026654550030000109</t>
  </si>
  <si>
    <t>105000026659750141000174</t>
  </si>
  <si>
    <t>105000026660613478000119</t>
  </si>
  <si>
    <t>105000026660985017000177</t>
  </si>
  <si>
    <t>105000026665789117000141</t>
  </si>
  <si>
    <t>105000026677024644000225</t>
  </si>
  <si>
    <t>105000026692863505000106</t>
  </si>
  <si>
    <t>105000026696513486000483</t>
  </si>
  <si>
    <t>1050000266PF9999923</t>
  </si>
  <si>
    <t>10656610000100</t>
  </si>
  <si>
    <t>10796406000186</t>
  </si>
  <si>
    <t>10869961000190</t>
  </si>
  <si>
    <t>10992676000162</t>
  </si>
  <si>
    <t>11319574000143</t>
  </si>
  <si>
    <t>11394929000169</t>
  </si>
  <si>
    <t>115406</t>
  </si>
  <si>
    <t>11699534000174</t>
  </si>
  <si>
    <t>11880336000102</t>
  </si>
  <si>
    <t>12007998000135</t>
  </si>
  <si>
    <t>12267127000150</t>
  </si>
  <si>
    <t>13226681000152</t>
  </si>
  <si>
    <t>13751924000171</t>
  </si>
  <si>
    <t>13781452000108</t>
  </si>
  <si>
    <t>13991459000146</t>
  </si>
  <si>
    <t>14108596000152</t>
  </si>
  <si>
    <t>14617721000150</t>
  </si>
  <si>
    <t>15190840000131</t>
  </si>
  <si>
    <t>16814622000193</t>
  </si>
  <si>
    <t>17178195002968</t>
  </si>
  <si>
    <t>17451234000158</t>
  </si>
  <si>
    <t>17526067000167</t>
  </si>
  <si>
    <t>17791755000154</t>
  </si>
  <si>
    <t>18072608000197</t>
  </si>
  <si>
    <t>18548151000144</t>
  </si>
  <si>
    <t>19038976000181</t>
  </si>
  <si>
    <t>19270480000139</t>
  </si>
  <si>
    <t>19381800000128</t>
  </si>
  <si>
    <t>19502657000185</t>
  </si>
  <si>
    <t>20050544000175</t>
  </si>
  <si>
    <t>20095607000100</t>
  </si>
  <si>
    <t>20915727000106</t>
  </si>
  <si>
    <t>21592185000140</t>
  </si>
  <si>
    <t>21736267000111</t>
  </si>
  <si>
    <t>21993683000103</t>
  </si>
  <si>
    <t>22122705000114</t>
  </si>
  <si>
    <t>23566982000189</t>
  </si>
  <si>
    <t>23886982000166</t>
  </si>
  <si>
    <t>23908807000122</t>
  </si>
  <si>
    <t>24239418000114</t>
  </si>
  <si>
    <t>24777932000103</t>
  </si>
  <si>
    <t>25229713000152</t>
  </si>
  <si>
    <t>25258766000100</t>
  </si>
  <si>
    <t>26481299000137</t>
  </si>
  <si>
    <t>26692162000121</t>
  </si>
  <si>
    <t>27490346000171</t>
  </si>
  <si>
    <t>27797268000152</t>
  </si>
  <si>
    <t>28291122000101</t>
  </si>
  <si>
    <t>28477946000162</t>
  </si>
  <si>
    <t>28503351000134</t>
  </si>
  <si>
    <t>29180955000230</t>
  </si>
  <si>
    <t>29359171000193</t>
  </si>
  <si>
    <t>29935657000122</t>
  </si>
  <si>
    <t>30020705000131</t>
  </si>
  <si>
    <t>30249603000192</t>
  </si>
  <si>
    <t>30460011000115</t>
  </si>
  <si>
    <t>305000026600138806000140</t>
  </si>
  <si>
    <t>305000026621993683000103</t>
  </si>
  <si>
    <t>305000026628383198000159</t>
  </si>
  <si>
    <t>305000026631291390000200</t>
  </si>
  <si>
    <t>30933311000174</t>
  </si>
  <si>
    <t>31888692000180</t>
  </si>
  <si>
    <t>31954621000138</t>
  </si>
  <si>
    <t>32168761000143</t>
  </si>
  <si>
    <t>32223836000141</t>
  </si>
  <si>
    <t>32319258000222</t>
  </si>
  <si>
    <t>32485150000129</t>
  </si>
  <si>
    <t>32492373004615</t>
  </si>
  <si>
    <t>32865668000198</t>
  </si>
  <si>
    <t>32944113000131</t>
  </si>
  <si>
    <t>33003194000138</t>
  </si>
  <si>
    <t>33318780000171</t>
  </si>
  <si>
    <t>33534751000147</t>
  </si>
  <si>
    <t>33575585000127</t>
  </si>
  <si>
    <t>33641663000144</t>
  </si>
  <si>
    <t>33746475000180</t>
  </si>
  <si>
    <t>34028316000294</t>
  </si>
  <si>
    <t>34210457000223</t>
  </si>
  <si>
    <t>34260596000180</t>
  </si>
  <si>
    <t>35137403000161</t>
  </si>
  <si>
    <t>36026560000162</t>
  </si>
  <si>
    <t>36241685000105</t>
  </si>
  <si>
    <t>37032250000113</t>
  </si>
  <si>
    <t>37611578000194</t>
  </si>
  <si>
    <t>38503861000165</t>
  </si>
  <si>
    <t>39162235000115</t>
  </si>
  <si>
    <t>39545634000165</t>
  </si>
  <si>
    <t>39685747000166</t>
  </si>
  <si>
    <t>40178030000107</t>
  </si>
  <si>
    <t>40263170000850</t>
  </si>
  <si>
    <t>40395162000190</t>
  </si>
  <si>
    <t>42270058000103</t>
  </si>
  <si>
    <t>42277434000183</t>
  </si>
  <si>
    <t>42366302000128</t>
  </si>
  <si>
    <t>43093948000141</t>
  </si>
  <si>
    <t>43843358000512</t>
  </si>
  <si>
    <t>43854777000126</t>
  </si>
  <si>
    <t>43919968000986</t>
  </si>
  <si>
    <t>44073971000137</t>
  </si>
  <si>
    <t>44273977000158</t>
  </si>
  <si>
    <t>44825501000263</t>
  </si>
  <si>
    <t>45769285000168</t>
  </si>
  <si>
    <t>45872579000110</t>
  </si>
  <si>
    <t>46359865000140</t>
  </si>
  <si>
    <t>46390209000100</t>
  </si>
  <si>
    <t>47968764000139</t>
  </si>
  <si>
    <t>48011287000181</t>
  </si>
  <si>
    <t>48151779000172</t>
  </si>
  <si>
    <t>48480995000161</t>
  </si>
  <si>
    <t>50889102000188</t>
  </si>
  <si>
    <t>50892934000153</t>
  </si>
  <si>
    <t>51733129000140</t>
  </si>
  <si>
    <t>54550030000109</t>
  </si>
  <si>
    <t>54642543000131</t>
  </si>
  <si>
    <t>55616429000108</t>
  </si>
  <si>
    <t>57055352000161</t>
  </si>
  <si>
    <t>59618207000177</t>
  </si>
  <si>
    <t>59750141000174</t>
  </si>
  <si>
    <t>60039401000187</t>
  </si>
  <si>
    <t>60613478000119</t>
  </si>
  <si>
    <t>60985017000177</t>
  </si>
  <si>
    <t>61067906000118</t>
  </si>
  <si>
    <t>62238043000167</t>
  </si>
  <si>
    <t>62460290000103</t>
  </si>
  <si>
    <t>62462676000154</t>
  </si>
  <si>
    <t>62954987000130</t>
  </si>
  <si>
    <t>65789117000141</t>
  </si>
  <si>
    <t>67423152000178</t>
  </si>
  <si>
    <t>68976844000106</t>
  </si>
  <si>
    <t>71208516000174</t>
  </si>
  <si>
    <t>71208516017140</t>
  </si>
  <si>
    <t>72368012000184</t>
  </si>
  <si>
    <t>77024644000225</t>
  </si>
  <si>
    <t>89341127000188</t>
  </si>
  <si>
    <t>92690700000254</t>
  </si>
  <si>
    <t>96513486000483</t>
  </si>
  <si>
    <t>1050000266115406</t>
  </si>
  <si>
    <t>214240101</t>
  </si>
  <si>
    <t>'= ICMS A RECOL S/ MERCAD P/ REVENDA -INTER EST</t>
  </si>
  <si>
    <t>100000000026136748000100</t>
  </si>
  <si>
    <t>100000000062232889000190</t>
  </si>
  <si>
    <t>149100000010264663000177</t>
  </si>
  <si>
    <t>149100000018310490747</t>
  </si>
  <si>
    <t>149100000019828259796</t>
  </si>
  <si>
    <t>149100000063895234672</t>
  </si>
  <si>
    <t>149100000090400888000142</t>
  </si>
  <si>
    <t>100000000001617762725</t>
  </si>
  <si>
    <t>100000000002539202721</t>
  </si>
  <si>
    <t>100000000005346092790</t>
  </si>
  <si>
    <t>100000000010601806778</t>
  </si>
  <si>
    <t>100000000012767938714</t>
  </si>
  <si>
    <t>100000000013095356714</t>
  </si>
  <si>
    <t>100000000014056482799</t>
  </si>
  <si>
    <t>100000000014109781760</t>
  </si>
  <si>
    <t>100000000082438641720</t>
  </si>
  <si>
    <t>100000000090521749620</t>
  </si>
  <si>
    <t>105000026601218820713</t>
  </si>
  <si>
    <t>105000026602824380764</t>
  </si>
  <si>
    <t>105000026603018866797</t>
  </si>
  <si>
    <t>105000026605280497711</t>
  </si>
  <si>
    <t>105000026605346092790</t>
  </si>
  <si>
    <t>105000026605542977790</t>
  </si>
  <si>
    <t>105000026605543697708</t>
  </si>
  <si>
    <t>105000026605863108789</t>
  </si>
  <si>
    <t>105000026607202216760</t>
  </si>
  <si>
    <t>105000026607247347759</t>
  </si>
  <si>
    <t>105000026607506693739</t>
  </si>
  <si>
    <t>105000026608021211601</t>
  </si>
  <si>
    <t>105000026608320243769</t>
  </si>
  <si>
    <t>105000026608441748748</t>
  </si>
  <si>
    <t>105000026609331299710</t>
  </si>
  <si>
    <t>105000026609398725797</t>
  </si>
  <si>
    <t>105000026609577155790</t>
  </si>
  <si>
    <t>105000026609879898710</t>
  </si>
  <si>
    <t>105000026610486031721</t>
  </si>
  <si>
    <t>105000026610601806778</t>
  </si>
  <si>
    <t>105000026610613752775</t>
  </si>
  <si>
    <t>105000026610761818723</t>
  </si>
  <si>
    <t>105000026610946153744</t>
  </si>
  <si>
    <t>105000026610986762709</t>
  </si>
  <si>
    <t>105000026611100014799</t>
  </si>
  <si>
    <t>105000026611624919731</t>
  </si>
  <si>
    <t>105000026611836140711</t>
  </si>
  <si>
    <t>105000026612179313764</t>
  </si>
  <si>
    <t>105000026612232702707</t>
  </si>
  <si>
    <t>105000026612455956792</t>
  </si>
  <si>
    <t>105000026612767938714</t>
  </si>
  <si>
    <t>105000026612835806750</t>
  </si>
  <si>
    <t>105000026612907866745</t>
  </si>
  <si>
    <t>105000026613474582712</t>
  </si>
  <si>
    <t>105000026614026860728</t>
  </si>
  <si>
    <t>105000026614455754776</t>
  </si>
  <si>
    <t>105000026635593067600</t>
  </si>
  <si>
    <t>105000026660777788772</t>
  </si>
  <si>
    <t>105000026678522471720</t>
  </si>
  <si>
    <t>105000026682438641720</t>
  </si>
  <si>
    <t>105000026686704702687</t>
  </si>
  <si>
    <t>105000026692708820710</t>
  </si>
  <si>
    <t>14919800002024OB006662</t>
  </si>
  <si>
    <t>14919800002024OB006674</t>
  </si>
  <si>
    <t>14919800002025OB001158</t>
  </si>
  <si>
    <t>14919800002025OB001169</t>
  </si>
  <si>
    <t>14919800002025OB001180</t>
  </si>
  <si>
    <t>14919800052025OB000035</t>
  </si>
  <si>
    <t>311110100</t>
  </si>
  <si>
    <t>332110100</t>
  </si>
  <si>
    <t>DIARIAS</t>
  </si>
  <si>
    <t>332359900</t>
  </si>
  <si>
    <t>332410100</t>
  </si>
  <si>
    <t>CONTRATO DE TERC. POR SUBST. DE M.O.</t>
  </si>
  <si>
    <t>342440200</t>
  </si>
  <si>
    <t>342440400</t>
  </si>
  <si>
    <t>342510100</t>
  </si>
  <si>
    <t>342510200</t>
  </si>
  <si>
    <t>343910103</t>
  </si>
  <si>
    <t>ATUALIZACAO MONETARIA - DEMAIS ATIVOS</t>
  </si>
  <si>
    <t>371110100</t>
  </si>
  <si>
    <t>IMPOSTO S/ PROPRIEDADE TERRITORIAL RURAL</t>
  </si>
  <si>
    <t>463410100</t>
  </si>
  <si>
    <t>GANHOS C/ INCORPORACAO DE ATIVOS POR PRODUCAO</t>
  </si>
  <si>
    <t>mar/25</t>
  </si>
  <si>
    <t>mar/24</t>
  </si>
  <si>
    <t>dez/24</t>
  </si>
  <si>
    <t>111310200'= GARANTIAS105000026638503861000165</t>
  </si>
  <si>
    <t>111310200'= GARANTIAS149100000002016558000190</t>
  </si>
  <si>
    <t>111310200'= GARANTIAS149100000007028841000156</t>
  </si>
  <si>
    <t>111310200'= GARANTIAS149100000007710046000143</t>
  </si>
  <si>
    <t>111310200'= GARANTIAS149100000009632388000118</t>
  </si>
  <si>
    <t>111310200'= GARANTIAS149100000010733675000101</t>
  </si>
  <si>
    <t>111310200'= GARANTIAS149100000011395635000151</t>
  </si>
  <si>
    <t>111310200'= GARANTIAS149100000014000561000103</t>
  </si>
  <si>
    <t>111310200'= GARANTIAS149100000029912565000127</t>
  </si>
  <si>
    <t>111310200'= GARANTIAS149100000038503861000165</t>
  </si>
  <si>
    <t>213110400'= CONTAS A PAGAR CREDORES NACIONAIS00100408000135</t>
  </si>
  <si>
    <t>213110400'= CONTAS A PAGAR CREDORES NACIONAIS00205734000379</t>
  </si>
  <si>
    <t>213110400'= CONTAS A PAGAR CREDORES NACIONAIS00331788003134</t>
  </si>
  <si>
    <t>213110400'= CONTAS A PAGAR CREDORES NACIONAIS00398099000121</t>
  </si>
  <si>
    <t>213110400'= CONTAS A PAGAR CREDORES NACIONAIS00604122000197</t>
  </si>
  <si>
    <t>213110400'= CONTAS A PAGAR CREDORES NACIONAIS00910509000171</t>
  </si>
  <si>
    <t>213110400'= CONTAS A PAGAR CREDORES NACIONAIS00910509000414</t>
  </si>
  <si>
    <t>213110400'= CONTAS A PAGAR CREDORES NACIONAIS01305625000124</t>
  </si>
  <si>
    <t>213110400'= CONTAS A PAGAR CREDORES NACIONAIS02421421000111</t>
  </si>
  <si>
    <t>213110400'= CONTAS A PAGAR CREDORES NACIONAIS02887124000328</t>
  </si>
  <si>
    <t>213110400'= CONTAS A PAGAR CREDORES NACIONAIS02935467000159</t>
  </si>
  <si>
    <t>213110400'= CONTAS A PAGAR CREDORES NACIONAIS03020839000180</t>
  </si>
  <si>
    <t>213110400'= CONTAS A PAGAR CREDORES NACIONAIS03117534000190</t>
  </si>
  <si>
    <t>213110400'= CONTAS A PAGAR CREDORES NACIONAIS03237583006440</t>
  </si>
  <si>
    <t>213110400'= CONTAS A PAGAR CREDORES NACIONAIS03251714000160</t>
  </si>
  <si>
    <t>213110400'= CONTAS A PAGAR CREDORES NACIONAIS03578224000173</t>
  </si>
  <si>
    <t>213110400'= CONTAS A PAGAR CREDORES NACIONAIS03750757000190</t>
  </si>
  <si>
    <t>213110400'= CONTAS A PAGAR CREDORES NACIONAIS03773700008353</t>
  </si>
  <si>
    <t>213110400'= CONTAS A PAGAR CREDORES NACIONAIS03958504000107</t>
  </si>
  <si>
    <t>213110400'= CONTAS A PAGAR CREDORES NACIONAIS04117852000386</t>
  </si>
  <si>
    <t>213110400'= CONTAS A PAGAR CREDORES NACIONAIS04127856000183</t>
  </si>
  <si>
    <t>213110400'= CONTAS A PAGAR CREDORES NACIONAIS04298309000756</t>
  </si>
  <si>
    <t>213110400'= CONTAS A PAGAR CREDORES NACIONAIS04565030000104</t>
  </si>
  <si>
    <t>213110400'= CONTAS A PAGAR CREDORES NACIONAIS04602789000101</t>
  </si>
  <si>
    <t>213110400'= CONTAS A PAGAR CREDORES NACIONAIS04889792000158</t>
  </si>
  <si>
    <t>213110400'= CONTAS A PAGAR CREDORES NACIONAIS04931019000293</t>
  </si>
  <si>
    <t>213110400'= CONTAS A PAGAR CREDORES NACIONAIS05017000000118</t>
  </si>
  <si>
    <t>213110400'= CONTAS A PAGAR CREDORES NACIONAIS05250796000154</t>
  </si>
  <si>
    <t>213110400'= CONTAS A PAGAR CREDORES NACIONAIS05295679000107</t>
  </si>
  <si>
    <t>213110400'= CONTAS A PAGAR CREDORES NACIONAIS05538148000106</t>
  </si>
  <si>
    <t>213110400'= CONTAS A PAGAR CREDORES NACIONAIS05573756000143</t>
  </si>
  <si>
    <t>213110400'= CONTAS A PAGAR CREDORES NACIONAIS05872814000300</t>
  </si>
  <si>
    <t>213110400'= CONTAS A PAGAR CREDORES NACIONAIS06034135000154</t>
  </si>
  <si>
    <t>213110400'= CONTAS A PAGAR CREDORES NACIONAIS06118361000385</t>
  </si>
  <si>
    <t>213110400'= CONTAS A PAGAR CREDORES NACIONAIS06132270000132</t>
  </si>
  <si>
    <t>213110400'= CONTAS A PAGAR CREDORES NACIONAIS06913480001806</t>
  </si>
  <si>
    <t>213110400'= CONTAS A PAGAR CREDORES NACIONAIS07072293000161</t>
  </si>
  <si>
    <t>213110400'= CONTAS A PAGAR CREDORES NACIONAIS07465373000187</t>
  </si>
  <si>
    <t>213110400'= CONTAS A PAGAR CREDORES NACIONAIS07543331000117</t>
  </si>
  <si>
    <t>213110400'= CONTAS A PAGAR CREDORES NACIONAIS07568908000145</t>
  </si>
  <si>
    <t>213110400'= CONTAS A PAGAR CREDORES NACIONAIS07625852000113</t>
  </si>
  <si>
    <t>213110400'= CONTAS A PAGAR CREDORES NACIONAIS07906865000160</t>
  </si>
  <si>
    <t>213110400'= CONTAS A PAGAR CREDORES NACIONAIS08172784000309</t>
  </si>
  <si>
    <t>213110400'= CONTAS A PAGAR CREDORES NACIONAIS08237411000107</t>
  </si>
  <si>
    <t>213110400'= CONTAS A PAGAR CREDORES NACIONAIS08400213000112</t>
  </si>
  <si>
    <t>213110400'= CONTAS A PAGAR CREDORES NACIONAIS08561372000107</t>
  </si>
  <si>
    <t>213110400'= CONTAS A PAGAR CREDORES NACIONAIS08689801000118</t>
  </si>
  <si>
    <t>213110400'= CONTAS A PAGAR CREDORES NACIONAIS08783191000117</t>
  </si>
  <si>
    <t>213110400'= CONTAS A PAGAR CREDORES NACIONAIS09154735000144</t>
  </si>
  <si>
    <t>213110400'= CONTAS A PAGAR CREDORES NACIONAIS09199793000194</t>
  </si>
  <si>
    <t>213110400'= CONTAS A PAGAR CREDORES NACIONAIS09209275000104</t>
  </si>
  <si>
    <t>213110400'= CONTAS A PAGAR CREDORES NACIONAIS09362098000100</t>
  </si>
  <si>
    <t>213110400'= CONTAS A PAGAR CREDORES NACIONAIS09452853000139</t>
  </si>
  <si>
    <t>213110400'= CONTAS A PAGAR CREDORES NACIONAIS09622294000168</t>
  </si>
  <si>
    <t>213110400'= CONTAS A PAGAR CREDORES NACIONAIS100000000000100408000135</t>
  </si>
  <si>
    <t>213110400'= CONTAS A PAGAR CREDORES NACIONAIS100000000000138806000140</t>
  </si>
  <si>
    <t>213110400'= CONTAS A PAGAR CREDORES NACIONAIS100000000000205734000379</t>
  </si>
  <si>
    <t>213110400'= CONTAS A PAGAR CREDORES NACIONAIS100000000000398099000121</t>
  </si>
  <si>
    <t>213110400'= CONTAS A PAGAR CREDORES NACIONAIS100000000000910509000414</t>
  </si>
  <si>
    <t>213110400'= CONTAS A PAGAR CREDORES NACIONAIS100000000001061021000180</t>
  </si>
  <si>
    <t>213110400'= CONTAS A PAGAR CREDORES NACIONAIS100000000003251714000160</t>
  </si>
  <si>
    <t>213110400'= CONTAS A PAGAR CREDORES NACIONAIS100000000006034135000154</t>
  </si>
  <si>
    <t>213110400'= CONTAS A PAGAR CREDORES NACIONAIS100000000007906865000160</t>
  </si>
  <si>
    <t>213110400'= CONTAS A PAGAR CREDORES NACIONAIS100000000008400213000112</t>
  </si>
  <si>
    <t>213110400'= CONTAS A PAGAR CREDORES NACIONAIS100000000009199793000194</t>
  </si>
  <si>
    <t>213110400'= CONTAS A PAGAR CREDORES NACIONAIS100000000009209275000104</t>
  </si>
  <si>
    <t>213110400'= CONTAS A PAGAR CREDORES NACIONAIS100000000009362098000100</t>
  </si>
  <si>
    <t>213110400'= CONTAS A PAGAR CREDORES NACIONAIS100000000009485031000154</t>
  </si>
  <si>
    <t>213110400'= CONTAS A PAGAR CREDORES NACIONAIS100000000009622294000168</t>
  </si>
  <si>
    <t>213110400'= CONTAS A PAGAR CREDORES NACIONAIS100000000011068595000133</t>
  </si>
  <si>
    <t>213110400'= CONTAS A PAGAR CREDORES NACIONAIS100000000011315906000111</t>
  </si>
  <si>
    <t>213110400'= CONTAS A PAGAR CREDORES NACIONAIS100000000013911455000291</t>
  </si>
  <si>
    <t>213110400'= CONTAS A PAGAR CREDORES NACIONAIS100000000016814622000193</t>
  </si>
  <si>
    <t>213110400'= CONTAS A PAGAR CREDORES NACIONAIS100000000019209290000106</t>
  </si>
  <si>
    <t>213110400'= CONTAS A PAGAR CREDORES NACIONAIS100000000023908807000122</t>
  </si>
  <si>
    <t>213110400'= CONTAS A PAGAR CREDORES NACIONAIS100000000024777932000103</t>
  </si>
  <si>
    <t>213110400'= CONTAS A PAGAR CREDORES NACIONAIS100000000026692162000121</t>
  </si>
  <si>
    <t>213110400'= CONTAS A PAGAR CREDORES NACIONAIS100000000027217586000105</t>
  </si>
  <si>
    <t>213110400'= CONTAS A PAGAR CREDORES NACIONAIS100000000029080486000105</t>
  </si>
  <si>
    <t>213110400'= CONTAS A PAGAR CREDORES NACIONAIS100000000030460011000115</t>
  </si>
  <si>
    <t>213110400'= CONTAS A PAGAR CREDORES NACIONAIS100000000030933311000174</t>
  </si>
  <si>
    <t>213110400'= CONTAS A PAGAR CREDORES NACIONAIS100000000031954621000138</t>
  </si>
  <si>
    <t>213110400'= CONTAS A PAGAR CREDORES NACIONAIS100000000039545634000165</t>
  </si>
  <si>
    <t>213110400'= CONTAS A PAGAR CREDORES NACIONAIS100000000040395162000190</t>
  </si>
  <si>
    <t>213110400'= CONTAS A PAGAR CREDORES NACIONAIS100000000041337201000166</t>
  </si>
  <si>
    <t>213110400'= CONTAS A PAGAR CREDORES NACIONAIS100000000043093948000141</t>
  </si>
  <si>
    <t>213110400'= CONTAS A PAGAR CREDORES NACIONAIS100000000044417768000130</t>
  </si>
  <si>
    <t>213110400'= CONTAS A PAGAR CREDORES NACIONAIS100000000044825501000263</t>
  </si>
  <si>
    <t>213110400'= CONTAS A PAGAR CREDORES NACIONAIS100000000046359865000140</t>
  </si>
  <si>
    <t>213110400'= CONTAS A PAGAR CREDORES NACIONAIS100000000047876552000121</t>
  </si>
  <si>
    <t>213110400'= CONTAS A PAGAR CREDORES NACIONAIS100000000048151779000172</t>
  </si>
  <si>
    <t>213110400'= CONTAS A PAGAR CREDORES NACIONAIS100000000050891609000176</t>
  </si>
  <si>
    <t>213110400'= CONTAS A PAGAR CREDORES NACIONAIS100000000054550030000109</t>
  </si>
  <si>
    <t>213110400'= CONTAS A PAGAR CREDORES NACIONAIS100000000055942986000100</t>
  </si>
  <si>
    <t>213110400'= CONTAS A PAGAR CREDORES NACIONAIS100000000060613478000119</t>
  </si>
  <si>
    <t>213110400'= CONTAS A PAGAR CREDORES NACIONAIS100000000062238043000167</t>
  </si>
  <si>
    <t>213110400'= CONTAS A PAGAR CREDORES NACIONAIS100000000092863505000106</t>
  </si>
  <si>
    <t>213110400'= CONTAS A PAGAR CREDORES NACIONAIS10430390000193</t>
  </si>
  <si>
    <t>213110400'= CONTAS A PAGAR CREDORES NACIONAIS105000026600910509000414</t>
  </si>
  <si>
    <t>213110400'= CONTAS A PAGAR CREDORES NACIONAIS105000026601868396000156</t>
  </si>
  <si>
    <t>213110400'= CONTAS A PAGAR CREDORES NACIONAIS105000026602887124000328</t>
  </si>
  <si>
    <t>213110400'= CONTAS A PAGAR CREDORES NACIONAIS105000026604565030000104</t>
  </si>
  <si>
    <t>213110400'= CONTAS A PAGAR CREDORES NACIONAIS105000026605370858000161</t>
  </si>
  <si>
    <t>213110400'= CONTAS A PAGAR CREDORES NACIONAIS105000026609209275000104</t>
  </si>
  <si>
    <t>213110400'= CONTAS A PAGAR CREDORES NACIONAIS105000026609292002000176</t>
  </si>
  <si>
    <t>213110400'= CONTAS A PAGAR CREDORES NACIONAIS105000026609452853000139</t>
  </si>
  <si>
    <t>213110400'= CONTAS A PAGAR CREDORES NACIONAIS105000026609471199000100</t>
  </si>
  <si>
    <t>213110400'= CONTAS A PAGAR CREDORES NACIONAIS105000026610430390000193</t>
  </si>
  <si>
    <t>213110400'= CONTAS A PAGAR CREDORES NACIONAIS105000026610992676000162</t>
  </si>
  <si>
    <t>213110400'= CONTAS A PAGAR CREDORES NACIONAIS105000026613751924000171</t>
  </si>
  <si>
    <t>213110400'= CONTAS A PAGAR CREDORES NACIONAIS105000026619038976000181</t>
  </si>
  <si>
    <t>213110400'= CONTAS A PAGAR CREDORES NACIONAIS105000026620915727000106</t>
  </si>
  <si>
    <t>213110400'= CONTAS A PAGAR CREDORES NACIONAIS105000026622122705000114</t>
  </si>
  <si>
    <t>213110400'= CONTAS A PAGAR CREDORES NACIONAIS105000026624239418000114</t>
  </si>
  <si>
    <t>213110400'= CONTAS A PAGAR CREDORES NACIONAIS105000026626481299000137</t>
  </si>
  <si>
    <t>213110400'= CONTAS A PAGAR CREDORES NACIONAIS105000026626692162000121</t>
  </si>
  <si>
    <t>213110400'= CONTAS A PAGAR CREDORES NACIONAIS105000026627490346000171</t>
  </si>
  <si>
    <t>213110400'= CONTAS A PAGAR CREDORES NACIONAIS105000026630020705000131</t>
  </si>
  <si>
    <t>213110400'= CONTAS A PAGAR CREDORES NACIONAIS105000026632223836000141</t>
  </si>
  <si>
    <t>213110400'= CONTAS A PAGAR CREDORES NACIONAIS105000026632319258000222</t>
  </si>
  <si>
    <t>213110400'= CONTAS A PAGAR CREDORES NACIONAIS105000026632944113000131</t>
  </si>
  <si>
    <t>213110400'= CONTAS A PAGAR CREDORES NACIONAIS105000026633003194000138</t>
  </si>
  <si>
    <t>213110400'= CONTAS A PAGAR CREDORES NACIONAIS105000026633345683000178</t>
  </si>
  <si>
    <t>213110400'= CONTAS A PAGAR CREDORES NACIONAIS105000026634260596000180</t>
  </si>
  <si>
    <t>213110400'= CONTAS A PAGAR CREDORES NACIONAIS105000026636462671000111</t>
  </si>
  <si>
    <t>213110400'= CONTAS A PAGAR CREDORES NACIONAIS105000026639685747000166</t>
  </si>
  <si>
    <t>213110400'= CONTAS A PAGAR CREDORES NACIONAIS105000026641337201000166</t>
  </si>
  <si>
    <t>213110400'= CONTAS A PAGAR CREDORES NACIONAIS105000026643093948000141</t>
  </si>
  <si>
    <t>213110400'= CONTAS A PAGAR CREDORES NACIONAIS105000026645872579000110</t>
  </si>
  <si>
    <t>213110400'= CONTAS A PAGAR CREDORES NACIONAIS105000026650892934000153</t>
  </si>
  <si>
    <t>213110400'= CONTAS A PAGAR CREDORES NACIONAIS105000026654550030000109</t>
  </si>
  <si>
    <t>213110400'= CONTAS A PAGAR CREDORES NACIONAIS105000026659750141000174</t>
  </si>
  <si>
    <t>213110400'= CONTAS A PAGAR CREDORES NACIONAIS105000026660613478000119</t>
  </si>
  <si>
    <t>213110400'= CONTAS A PAGAR CREDORES NACIONAIS105000026660985017000177</t>
  </si>
  <si>
    <t>213110400'= CONTAS A PAGAR CREDORES NACIONAIS105000026665789117000141</t>
  </si>
  <si>
    <t>213110400'= CONTAS A PAGAR CREDORES NACIONAIS105000026677024644000225</t>
  </si>
  <si>
    <t>213110400'= CONTAS A PAGAR CREDORES NACIONAIS105000026692863505000106</t>
  </si>
  <si>
    <t>213110400'= CONTAS A PAGAR CREDORES NACIONAIS105000026696513486000483</t>
  </si>
  <si>
    <t>213110400'= CONTAS A PAGAR CREDORES NACIONAIS1050000266PF9999923</t>
  </si>
  <si>
    <t>213110400'= CONTAS A PAGAR CREDORES NACIONAIS10656610000100</t>
  </si>
  <si>
    <t>213110400'= CONTAS A PAGAR CREDORES NACIONAIS10796406000186</t>
  </si>
  <si>
    <t>213110400'= CONTAS A PAGAR CREDORES NACIONAIS10869961000190</t>
  </si>
  <si>
    <t>213110400'= CONTAS A PAGAR CREDORES NACIONAIS10992676000162</t>
  </si>
  <si>
    <t>213110400'= CONTAS A PAGAR CREDORES NACIONAIS11319574000143</t>
  </si>
  <si>
    <t>213110400'= CONTAS A PAGAR CREDORES NACIONAIS11394929000169</t>
  </si>
  <si>
    <t>213110400'= CONTAS A PAGAR CREDORES NACIONAIS115406</t>
  </si>
  <si>
    <t>213110400'= CONTAS A PAGAR CREDORES NACIONAIS11699534000174</t>
  </si>
  <si>
    <t>213110400'= CONTAS A PAGAR CREDORES NACIONAIS11880336000102</t>
  </si>
  <si>
    <t>213110400'= CONTAS A PAGAR CREDORES NACIONAIS12007998000135</t>
  </si>
  <si>
    <t>213110400'= CONTAS A PAGAR CREDORES NACIONAIS12267127000150</t>
  </si>
  <si>
    <t>213110400'= CONTAS A PAGAR CREDORES NACIONAIS13226681000152</t>
  </si>
  <si>
    <t>213110400'= CONTAS A PAGAR CREDORES NACIONAIS13751924000171</t>
  </si>
  <si>
    <t>213110400'= CONTAS A PAGAR CREDORES NACIONAIS13781452000108</t>
  </si>
  <si>
    <t>213110400'= CONTAS A PAGAR CREDORES NACIONAIS13991459000146</t>
  </si>
  <si>
    <t>213110400'= CONTAS A PAGAR CREDORES NACIONAIS14108596000152</t>
  </si>
  <si>
    <t>213110400'= CONTAS A PAGAR CREDORES NACIONAIS14617721000150</t>
  </si>
  <si>
    <t>213110400'= CONTAS A PAGAR CREDORES NACIONAIS15190840000131</t>
  </si>
  <si>
    <t>213110400'= CONTAS A PAGAR CREDORES NACIONAIS16814622000193</t>
  </si>
  <si>
    <t>213110400'= CONTAS A PAGAR CREDORES NACIONAIS17178195002968</t>
  </si>
  <si>
    <t>213110400'= CONTAS A PAGAR CREDORES NACIONAIS17451234000158</t>
  </si>
  <si>
    <t>213110400'= CONTAS A PAGAR CREDORES NACIONAIS17526067000167</t>
  </si>
  <si>
    <t>213110400'= CONTAS A PAGAR CREDORES NACIONAIS17791755000154</t>
  </si>
  <si>
    <t>213110400'= CONTAS A PAGAR CREDORES NACIONAIS18072608000197</t>
  </si>
  <si>
    <t>213110400'= CONTAS A PAGAR CREDORES NACIONAIS18548151000144</t>
  </si>
  <si>
    <t>213110400'= CONTAS A PAGAR CREDORES NACIONAIS19038976000181</t>
  </si>
  <si>
    <t>213110400'= CONTAS A PAGAR CREDORES NACIONAIS19270480000139</t>
  </si>
  <si>
    <t>213110400'= CONTAS A PAGAR CREDORES NACIONAIS19381800000128</t>
  </si>
  <si>
    <t>213110400'= CONTAS A PAGAR CREDORES NACIONAIS19502657000185</t>
  </si>
  <si>
    <t>213110400'= CONTAS A PAGAR CREDORES NACIONAIS20050544000175</t>
  </si>
  <si>
    <t>213110400'= CONTAS A PAGAR CREDORES NACIONAIS20095607000100</t>
  </si>
  <si>
    <t>213110400'= CONTAS A PAGAR CREDORES NACIONAIS20915727000106</t>
  </si>
  <si>
    <t>213110400'= CONTAS A PAGAR CREDORES NACIONAIS21592185000140</t>
  </si>
  <si>
    <t>213110400'= CONTAS A PAGAR CREDORES NACIONAIS21736267000111</t>
  </si>
  <si>
    <t>213110400'= CONTAS A PAGAR CREDORES NACIONAIS21993683000103</t>
  </si>
  <si>
    <t>213110400'= CONTAS A PAGAR CREDORES NACIONAIS22122705000114</t>
  </si>
  <si>
    <t>213110400'= CONTAS A PAGAR CREDORES NACIONAIS23566982000189</t>
  </si>
  <si>
    <t>213110400'= CONTAS A PAGAR CREDORES NACIONAIS23886982000166</t>
  </si>
  <si>
    <t>213110400'= CONTAS A PAGAR CREDORES NACIONAIS23908807000122</t>
  </si>
  <si>
    <t>213110400'= CONTAS A PAGAR CREDORES NACIONAIS24239418000114</t>
  </si>
  <si>
    <t>213110400'= CONTAS A PAGAR CREDORES NACIONAIS24777932000103</t>
  </si>
  <si>
    <t>213110400'= CONTAS A PAGAR CREDORES NACIONAIS25229713000152</t>
  </si>
  <si>
    <t>213110400'= CONTAS A PAGAR CREDORES NACIONAIS25258766000100</t>
  </si>
  <si>
    <t>213110400'= CONTAS A PAGAR CREDORES NACIONAIS26481299000137</t>
  </si>
  <si>
    <t>213110400'= CONTAS A PAGAR CREDORES NACIONAIS26692162000121</t>
  </si>
  <si>
    <t>213110400'= CONTAS A PAGAR CREDORES NACIONAIS27490346000171</t>
  </si>
  <si>
    <t>213110400'= CONTAS A PAGAR CREDORES NACIONAIS27797268000152</t>
  </si>
  <si>
    <t>213110400'= CONTAS A PAGAR CREDORES NACIONAIS28291122000101</t>
  </si>
  <si>
    <t>213110400'= CONTAS A PAGAR CREDORES NACIONAIS28383198000159</t>
  </si>
  <si>
    <t>213110400'= CONTAS A PAGAR CREDORES NACIONAIS28477946000162</t>
  </si>
  <si>
    <t>213110400'= CONTAS A PAGAR CREDORES NACIONAIS28503351000134</t>
  </si>
  <si>
    <t>213110400'= CONTAS A PAGAR CREDORES NACIONAIS29080486000105</t>
  </si>
  <si>
    <t>213110400'= CONTAS A PAGAR CREDORES NACIONAIS29180955000230</t>
  </si>
  <si>
    <t>213110400'= CONTAS A PAGAR CREDORES NACIONAIS29359171000193</t>
  </si>
  <si>
    <t>213110400'= CONTAS A PAGAR CREDORES NACIONAIS29935657000122</t>
  </si>
  <si>
    <t>213110400'= CONTAS A PAGAR CREDORES NACIONAIS30020705000131</t>
  </si>
  <si>
    <t>213110400'= CONTAS A PAGAR CREDORES NACIONAIS30249603000192</t>
  </si>
  <si>
    <t>213110400'= CONTAS A PAGAR CREDORES NACIONAIS30460011000115</t>
  </si>
  <si>
    <t>213110400'= CONTAS A PAGAR CREDORES NACIONAIS305000026600138806000140</t>
  </si>
  <si>
    <t>213110400'= CONTAS A PAGAR CREDORES NACIONAIS305000026621993683000103</t>
  </si>
  <si>
    <t>213110400'= CONTAS A PAGAR CREDORES NACIONAIS305000026628383198000159</t>
  </si>
  <si>
    <t>213110400'= CONTAS A PAGAR CREDORES NACIONAIS305000026631291390000200</t>
  </si>
  <si>
    <t>213110400'= CONTAS A PAGAR CREDORES NACIONAIS30933311000174</t>
  </si>
  <si>
    <t>213110400'= CONTAS A PAGAR CREDORES NACIONAIS31888692000180</t>
  </si>
  <si>
    <t>213110400'= CONTAS A PAGAR CREDORES NACIONAIS31954621000138</t>
  </si>
  <si>
    <t>213110400'= CONTAS A PAGAR CREDORES NACIONAIS32168761000143</t>
  </si>
  <si>
    <t>213110400'= CONTAS A PAGAR CREDORES NACIONAIS32223836000141</t>
  </si>
  <si>
    <t>213110400'= CONTAS A PAGAR CREDORES NACIONAIS32319258000222</t>
  </si>
  <si>
    <t>213110400'= CONTAS A PAGAR CREDORES NACIONAIS32485150000129</t>
  </si>
  <si>
    <t>213110400'= CONTAS A PAGAR CREDORES NACIONAIS32492373004615</t>
  </si>
  <si>
    <t>213110400'= CONTAS A PAGAR CREDORES NACIONAIS32683520000132</t>
  </si>
  <si>
    <t>213110400'= CONTAS A PAGAR CREDORES NACIONAIS32865668000198</t>
  </si>
  <si>
    <t>213110400'= CONTAS A PAGAR CREDORES NACIONAIS32944113000131</t>
  </si>
  <si>
    <t>213110400'= CONTAS A PAGAR CREDORES NACIONAIS33003194000138</t>
  </si>
  <si>
    <t>213110400'= CONTAS A PAGAR CREDORES NACIONAIS33220880000160</t>
  </si>
  <si>
    <t>213110400'= CONTAS A PAGAR CREDORES NACIONAIS33318780000171</t>
  </si>
  <si>
    <t>213110400'= CONTAS A PAGAR CREDORES NACIONAIS33345683000178</t>
  </si>
  <si>
    <t>213110400'= CONTAS A PAGAR CREDORES NACIONAIS33534751000147</t>
  </si>
  <si>
    <t>213110400'= CONTAS A PAGAR CREDORES NACIONAIS33575585000127</t>
  </si>
  <si>
    <t>213110400'= CONTAS A PAGAR CREDORES NACIONAIS33641663000144</t>
  </si>
  <si>
    <t>213110400'= CONTAS A PAGAR CREDORES NACIONAIS33746475000180</t>
  </si>
  <si>
    <t>213110400'= CONTAS A PAGAR CREDORES NACIONAIS34028316000294</t>
  </si>
  <si>
    <t>213110400'= CONTAS A PAGAR CREDORES NACIONAIS34210457000223</t>
  </si>
  <si>
    <t>213110400'= CONTAS A PAGAR CREDORES NACIONAIS34260596000180</t>
  </si>
  <si>
    <t>213110400'= CONTAS A PAGAR CREDORES NACIONAIS35137403000161</t>
  </si>
  <si>
    <t>213110400'= CONTAS A PAGAR CREDORES NACIONAIS36026560000162</t>
  </si>
  <si>
    <t>213110400'= CONTAS A PAGAR CREDORES NACIONAIS36241685000105</t>
  </si>
  <si>
    <t>213110400'= CONTAS A PAGAR CREDORES NACIONAIS37032250000113</t>
  </si>
  <si>
    <t>213110400'= CONTAS A PAGAR CREDORES NACIONAIS37611578000194</t>
  </si>
  <si>
    <t>213110400'= CONTAS A PAGAR CREDORES NACIONAIS38503861000165</t>
  </si>
  <si>
    <t>213110400'= CONTAS A PAGAR CREDORES NACIONAIS39162235000115</t>
  </si>
  <si>
    <t>213110400'= CONTAS A PAGAR CREDORES NACIONAIS39545634000165</t>
  </si>
  <si>
    <t>213110400'= CONTAS A PAGAR CREDORES NACIONAIS39685747000166</t>
  </si>
  <si>
    <t>213110400'= CONTAS A PAGAR CREDORES NACIONAIS40178030000107</t>
  </si>
  <si>
    <t>213110400'= CONTAS A PAGAR CREDORES NACIONAIS40263170000850</t>
  </si>
  <si>
    <t>213110400'= CONTAS A PAGAR CREDORES NACIONAIS40395162000190</t>
  </si>
  <si>
    <t>213110400'= CONTAS A PAGAR CREDORES NACIONAIS42270058000103</t>
  </si>
  <si>
    <t>213110400'= CONTAS A PAGAR CREDORES NACIONAIS42277434000183</t>
  </si>
  <si>
    <t>213110400'= CONTAS A PAGAR CREDORES NACIONAIS42366302000128</t>
  </si>
  <si>
    <t>213110400'= CONTAS A PAGAR CREDORES NACIONAIS43093948000141</t>
  </si>
  <si>
    <t>213110400'= CONTAS A PAGAR CREDORES NACIONAIS43843358000512</t>
  </si>
  <si>
    <t>213110400'= CONTAS A PAGAR CREDORES NACIONAIS43854777000126</t>
  </si>
  <si>
    <t>213110400'= CONTAS A PAGAR CREDORES NACIONAIS43919968000986</t>
  </si>
  <si>
    <t>213110400'= CONTAS A PAGAR CREDORES NACIONAIS44073971000137</t>
  </si>
  <si>
    <t>213110400'= CONTAS A PAGAR CREDORES NACIONAIS44273977000158</t>
  </si>
  <si>
    <t>213110400'= CONTAS A PAGAR CREDORES NACIONAIS44825501000263</t>
  </si>
  <si>
    <t>213110400'= CONTAS A PAGAR CREDORES NACIONAIS45769285000168</t>
  </si>
  <si>
    <t>213110400'= CONTAS A PAGAR CREDORES NACIONAIS45872579000110</t>
  </si>
  <si>
    <t>213110400'= CONTAS A PAGAR CREDORES NACIONAIS46359865000140</t>
  </si>
  <si>
    <t>213110400'= CONTAS A PAGAR CREDORES NACIONAIS46390209000100</t>
  </si>
  <si>
    <t>213110400'= CONTAS A PAGAR CREDORES NACIONAIS47968764000139</t>
  </si>
  <si>
    <t>213110400'= CONTAS A PAGAR CREDORES NACIONAIS48011287000181</t>
  </si>
  <si>
    <t>213110400'= CONTAS A PAGAR CREDORES NACIONAIS48151779000172</t>
  </si>
  <si>
    <t>213110400'= CONTAS A PAGAR CREDORES NACIONAIS48480995000161</t>
  </si>
  <si>
    <t>213110400'= CONTAS A PAGAR CREDORES NACIONAIS50889102000188</t>
  </si>
  <si>
    <t>213110400'= CONTAS A PAGAR CREDORES NACIONAIS50892934000153</t>
  </si>
  <si>
    <t>213110400'= CONTAS A PAGAR CREDORES NACIONAIS51733129000140</t>
  </si>
  <si>
    <t>213110400'= CONTAS A PAGAR CREDORES NACIONAIS54550030000109</t>
  </si>
  <si>
    <t>213110400'= CONTAS A PAGAR CREDORES NACIONAIS54642543000131</t>
  </si>
  <si>
    <t>213110400'= CONTAS A PAGAR CREDORES NACIONAIS55616429000108</t>
  </si>
  <si>
    <t>213110400'= CONTAS A PAGAR CREDORES NACIONAIS57055352000161</t>
  </si>
  <si>
    <t>213110400'= CONTAS A PAGAR CREDORES NACIONAIS59618207000177</t>
  </si>
  <si>
    <t>213110400'= CONTAS A PAGAR CREDORES NACIONAIS59750141000174</t>
  </si>
  <si>
    <t>213110400'= CONTAS A PAGAR CREDORES NACIONAIS60039401000187</t>
  </si>
  <si>
    <t>213110400'= CONTAS A PAGAR CREDORES NACIONAIS60444437000146</t>
  </si>
  <si>
    <t>213110400'= CONTAS A PAGAR CREDORES NACIONAIS60613478000119</t>
  </si>
  <si>
    <t>213110400'= CONTAS A PAGAR CREDORES NACIONAIS60633674000155</t>
  </si>
  <si>
    <t>213110400'= CONTAS A PAGAR CREDORES NACIONAIS60985017000177</t>
  </si>
  <si>
    <t>213110400'= CONTAS A PAGAR CREDORES NACIONAIS61067906000118</t>
  </si>
  <si>
    <t>213110400'= CONTAS A PAGAR CREDORES NACIONAIS61074175000138</t>
  </si>
  <si>
    <t>213110400'= CONTAS A PAGAR CREDORES NACIONAIS62238043000167</t>
  </si>
  <si>
    <t>213110400'= CONTAS A PAGAR CREDORES NACIONAIS62460290000103</t>
  </si>
  <si>
    <t>213110400'= CONTAS A PAGAR CREDORES NACIONAIS62462676000154</t>
  </si>
  <si>
    <t>213110400'= CONTAS A PAGAR CREDORES NACIONAIS62954987000130</t>
  </si>
  <si>
    <t>213110400'= CONTAS A PAGAR CREDORES NACIONAIS65789117000141</t>
  </si>
  <si>
    <t>213110400'= CONTAS A PAGAR CREDORES NACIONAIS66018441000129</t>
  </si>
  <si>
    <t>213110400'= CONTAS A PAGAR CREDORES NACIONAIS67423152000178</t>
  </si>
  <si>
    <t>213110400'= CONTAS A PAGAR CREDORES NACIONAIS68976844000106</t>
  </si>
  <si>
    <t>213110400'= CONTAS A PAGAR CREDORES NACIONAIS71208516000174</t>
  </si>
  <si>
    <t>213110400'= CONTAS A PAGAR CREDORES NACIONAIS71208516017140</t>
  </si>
  <si>
    <t>213110400'= CONTAS A PAGAR CREDORES NACIONAIS72368012000184</t>
  </si>
  <si>
    <t>213110400'= CONTAS A PAGAR CREDORES NACIONAIS77024644000225</t>
  </si>
  <si>
    <t>213110400'= CONTAS A PAGAR CREDORES NACIONAIS89341127000188</t>
  </si>
  <si>
    <t>213110400'= CONTAS A PAGAR CREDORES NACIONAIS92690700000254</t>
  </si>
  <si>
    <t>213110400'= CONTAS A PAGAR CREDORES NACIONAIS96513486000483</t>
  </si>
  <si>
    <t>213120400'= CONTAS A PAGAR CREDORES NACIONAIS -INTRA OFSS1050000266115406</t>
  </si>
  <si>
    <t>213120400'= CONTAS A PAGAR CREDORES NACIONAIS -INTRA OFSS115406</t>
  </si>
  <si>
    <t>218910200'= DIARIAS A PAGAR100000000001617762725</t>
  </si>
  <si>
    <t>218910200'= DIARIAS A PAGAR100000000002539202721</t>
  </si>
  <si>
    <t>218910200'= DIARIAS A PAGAR100000000005346092790</t>
  </si>
  <si>
    <t>218910200'= DIARIAS A PAGAR100000000010601806778</t>
  </si>
  <si>
    <t>218910200'= DIARIAS A PAGAR100000000012767938714</t>
  </si>
  <si>
    <t>218910200'= DIARIAS A PAGAR100000000013095356714</t>
  </si>
  <si>
    <t>218910200'= DIARIAS A PAGAR100000000014056482799</t>
  </si>
  <si>
    <t>218910200'= DIARIAS A PAGAR100000000014109781760</t>
  </si>
  <si>
    <t>218910200'= DIARIAS A PAGAR100000000082438641720</t>
  </si>
  <si>
    <t>218910200'= DIARIAS A PAGAR100000000090521749620</t>
  </si>
  <si>
    <t>218910200'= DIARIAS A PAGAR105000026601218820713</t>
  </si>
  <si>
    <t>218910200'= DIARIAS A PAGAR105000026602824380764</t>
  </si>
  <si>
    <t>218910200'= DIARIAS A PAGAR105000026603018866797</t>
  </si>
  <si>
    <t>218910200'= DIARIAS A PAGAR105000026605280497711</t>
  </si>
  <si>
    <t>218910200'= DIARIAS A PAGAR105000026605346092790</t>
  </si>
  <si>
    <t>218910200'= DIARIAS A PAGAR105000026605542977790</t>
  </si>
  <si>
    <t>218910200'= DIARIAS A PAGAR105000026605543697708</t>
  </si>
  <si>
    <t>218910200'= DIARIAS A PAGAR105000026605863108789</t>
  </si>
  <si>
    <t>218910200'= DIARIAS A PAGAR105000026607202216760</t>
  </si>
  <si>
    <t>218910200'= DIARIAS A PAGAR105000026607247347759</t>
  </si>
  <si>
    <t>218910200'= DIARIAS A PAGAR105000026607506693739</t>
  </si>
  <si>
    <t>218910200'= DIARIAS A PAGAR105000026608021211601</t>
  </si>
  <si>
    <t>218910200'= DIARIAS A PAGAR105000026608320243769</t>
  </si>
  <si>
    <t>218910200'= DIARIAS A PAGAR105000026608441748748</t>
  </si>
  <si>
    <t>218910200'= DIARIAS A PAGAR105000026609331299710</t>
  </si>
  <si>
    <t>218910200'= DIARIAS A PAGAR105000026609398725797</t>
  </si>
  <si>
    <t>218910200'= DIARIAS A PAGAR105000026609577155790</t>
  </si>
  <si>
    <t>218910200'= DIARIAS A PAGAR105000026609879898710</t>
  </si>
  <si>
    <t>218910200'= DIARIAS A PAGAR105000026610486031721</t>
  </si>
  <si>
    <t>218910200'= DIARIAS A PAGAR105000026610601806778</t>
  </si>
  <si>
    <t>218910200'= DIARIAS A PAGAR105000026610613752775</t>
  </si>
  <si>
    <t>218910200'= DIARIAS A PAGAR105000026610761818723</t>
  </si>
  <si>
    <t>218910200'= DIARIAS A PAGAR105000026610946153744</t>
  </si>
  <si>
    <t>218910200'= DIARIAS A PAGAR105000026610986762709</t>
  </si>
  <si>
    <t>218910200'= DIARIAS A PAGAR105000026611100014799</t>
  </si>
  <si>
    <t>218910200'= DIARIAS A PAGAR105000026611624919731</t>
  </si>
  <si>
    <t>218910200'= DIARIAS A PAGAR105000026611836140711</t>
  </si>
  <si>
    <t>218910200'= DIARIAS A PAGAR105000026612179313764</t>
  </si>
  <si>
    <t>218910200'= DIARIAS A PAGAR105000026612232702707</t>
  </si>
  <si>
    <t>218910200'= DIARIAS A PAGAR105000026612455956792</t>
  </si>
  <si>
    <t>218910200'= DIARIAS A PAGAR105000026612767938714</t>
  </si>
  <si>
    <t>218910200'= DIARIAS A PAGAR105000026612835806750</t>
  </si>
  <si>
    <t>218910200'= DIARIAS A PAGAR105000026612907866745</t>
  </si>
  <si>
    <t>218910200'= DIARIAS A PAGAR105000026613474582712</t>
  </si>
  <si>
    <t>218910200'= DIARIAS A PAGAR105000026614026860728</t>
  </si>
  <si>
    <t>218910200'= DIARIAS A PAGAR105000026614455754776</t>
  </si>
  <si>
    <t>218910200'= DIARIAS A PAGAR105000026635593067600</t>
  </si>
  <si>
    <t>218910200'= DIARIAS A PAGAR105000026660777788772</t>
  </si>
  <si>
    <t>218910200'= DIARIAS A PAGAR105000026678522471720</t>
  </si>
  <si>
    <t>218910200'= DIARIAS A PAGAR105000026682438641720</t>
  </si>
  <si>
    <t>218910200'= DIARIAS A PAGAR105000026686704702687</t>
  </si>
  <si>
    <t>218910200'= DIARIAS A PAGAR105000026692708820710</t>
  </si>
  <si>
    <t>342510100JUROS DE MORA DE OBRIGACOES PREVIDENCIARIASSEM INFORMACAO</t>
  </si>
  <si>
    <t>342510200MULTA DE MORA DE OBRIGACOES PREVIDENCIARIASSEM INFORMACAO</t>
  </si>
  <si>
    <t>463410100GANHOS C/ INCORPORACAO DE ATIVOS POR PRODUCAOSEM INFORMACAO</t>
  </si>
  <si>
    <t>111122001'= LIMITE DE SAQUE COM VINCULACAO DE PGTO - OFSS1491980005990</t>
  </si>
  <si>
    <t>111122003'= LIM DE SAQUE C/VINC.PAGTO- ORDEM PAGTO - OFSS1491980005990</t>
  </si>
  <si>
    <t>112210103'= FATURAS/DUPL A REC - ESTOQUES PROPRIOS33000167000454</t>
  </si>
  <si>
    <t>112210103'= FATURAS/DUPL A REC - ESTOQUES PROPRIOS33000167029274</t>
  </si>
  <si>
    <t>112210103'= FATURAS/DUPL A REC - ESTOQUES PROPRIOS33000167037102</t>
  </si>
  <si>
    <t>112210106'= FATURAS/DUPL A REC - PRESTACAO DE SERVICOS00202759000157</t>
  </si>
  <si>
    <t>113110103'= VIAGENS - ADIANTAMENTO00000000000191</t>
  </si>
  <si>
    <t>113110103'= VIAGENS - ADIANTAMENTO01218820713</t>
  </si>
  <si>
    <t>113110103'= VIAGENS - ADIANTAMENTO02824380764</t>
  </si>
  <si>
    <t>113110103'= VIAGENS - ADIANTAMENTO05346092790</t>
  </si>
  <si>
    <t>113110103'= VIAGENS - ADIANTAMENTO07202216760</t>
  </si>
  <si>
    <t>113110103'= VIAGENS - ADIANTAMENTO07554006746</t>
  </si>
  <si>
    <t>113110103'= VIAGENS - ADIANTAMENTO08320243769</t>
  </si>
  <si>
    <t>113110103'= VIAGENS - ADIANTAMENTO09879898710</t>
  </si>
  <si>
    <t>113110103'= VIAGENS - ADIANTAMENTO10601806778</t>
  </si>
  <si>
    <t>113110103'= VIAGENS - ADIANTAMENTO10931154758</t>
  </si>
  <si>
    <t>113110103'= VIAGENS - ADIANTAMENTO11836140711</t>
  </si>
  <si>
    <t>113110103'= VIAGENS - ADIANTAMENTO12767938714</t>
  </si>
  <si>
    <t>113110103'= VIAGENS - ADIANTAMENTO12835806750</t>
  </si>
  <si>
    <t>113110103'= VIAGENS - ADIANTAMENTO13095356714</t>
  </si>
  <si>
    <t>113110103'= VIAGENS - ADIANTAMENTO13474582712</t>
  </si>
  <si>
    <t>113110103'= VIAGENS - ADIANTAMENTO14056482799</t>
  </si>
  <si>
    <t>113110103'= VIAGENS - ADIANTAMENTO14109781760</t>
  </si>
  <si>
    <t>113110103'= VIAGENS - ADIANTAMENTO35593067600</t>
  </si>
  <si>
    <t>113110103'= VIAGENS - ADIANTAMENTO60069066787</t>
  </si>
  <si>
    <t>113110103'= VIAGENS - ADIANTAMENTO82438641720</t>
  </si>
  <si>
    <t>113110103'= VIAGENS - ADIANTAMENTO90521749620</t>
  </si>
  <si>
    <t>115210100'= PRODUTOS ACABADOSIC2022011</t>
  </si>
  <si>
    <t>115210100'= PRODUTOS ACABADOSIC2022012</t>
  </si>
  <si>
    <t>115210100'= PRODUTOS ACABADOSIC2023004</t>
  </si>
  <si>
    <t>115210100'= PRODUTOS ACABADOSIC2023014</t>
  </si>
  <si>
    <t>115210100'= PRODUTOS ACABADOSIC2023016</t>
  </si>
  <si>
    <t>115310100'= PRODUTOS EM ELABORACAOIC2023014</t>
  </si>
  <si>
    <t>115310100'= PRODUTOS EM ELABORACAOIC2023015</t>
  </si>
  <si>
    <t>115310100'= PRODUTOS EM ELABORACAOIC2023016</t>
  </si>
  <si>
    <t>123210601'= OBRAS EM ANDAMENTOIMOC08623</t>
  </si>
  <si>
    <t>211410600'= FGTSPDENC0005</t>
  </si>
  <si>
    <t>211411200'= ENCARGOS SOCIAIS - CONVENIO DE ARRECAD DIRETASEM INFORMACAO</t>
  </si>
  <si>
    <t>211420101'= INSS - CONTRIB SOBRE SALARIOS E REMUNERACOES1000000000</t>
  </si>
  <si>
    <t>211420101'= INSS - CONTRIB SOBRE SALARIOS E REMUNERACOESSEM INFORMACAO</t>
  </si>
  <si>
    <t>214240101'= ICMS A RECOL S/ MERCAD P/ REVENDA -INTER ESTSEM INFORMACAO</t>
  </si>
  <si>
    <t>214310200'= IPTU/TLP A RECOLHER1050000266</t>
  </si>
  <si>
    <t>214310200'= IPTU/TLP A RECOLHERSEM INFORMACAO</t>
  </si>
  <si>
    <t>218810122'= RETENCOES - EMPRESTIMOS E FINANCIAMENTOS100000000026136748000100</t>
  </si>
  <si>
    <t>218810122'= RETENCOES - EMPRESTIMOS E FINANCIAMENTOS100000000062232889000190</t>
  </si>
  <si>
    <t>218810128'= DEPOSITOS RETIDOS DE FORNECEDORES100000000035930513000186</t>
  </si>
  <si>
    <t>218810131'= GLOSA DE ENCARGOS TRABALHISTAS1050000266</t>
  </si>
  <si>
    <t>218810406'= DEPOSITOS RETIDOS DE FORNECEDORES105000026638503861000165</t>
  </si>
  <si>
    <t>218810406'= DEPOSITOS RETIDOS DE FORNECEDORES149100000002016558000190</t>
  </si>
  <si>
    <t>218810406'= DEPOSITOS RETIDOS DE FORNECEDORES149100000007028841000156</t>
  </si>
  <si>
    <t>218810406'= DEPOSITOS RETIDOS DE FORNECEDORES149100000007710046000143</t>
  </si>
  <si>
    <t>218810406'= DEPOSITOS RETIDOS DE FORNECEDORES149100000009632388000118</t>
  </si>
  <si>
    <t>218810406'= DEPOSITOS RETIDOS DE FORNECEDORES149100000010733675000101</t>
  </si>
  <si>
    <t>218810406'= DEPOSITOS RETIDOS DE FORNECEDORES149100000011395635000151</t>
  </si>
  <si>
    <t>218810406'= DEPOSITOS RETIDOS DE FORNECEDORES149100000014000561000103</t>
  </si>
  <si>
    <t>218810406'= DEPOSITOS RETIDOS DE FORNECEDORES149100000029912565000127</t>
  </si>
  <si>
    <t>218810406'= DEPOSITOS RETIDOS DE FORNECEDORES149100000038503861000165</t>
  </si>
  <si>
    <t>218810447'= DEPOSITOS POR DEVOLUCAO DE VALORES NAO RECLAM149100000010264663000177</t>
  </si>
  <si>
    <t>218810447'= DEPOSITOS POR DEVOLUCAO DE VALORES NAO RECLAM149100000018310490747</t>
  </si>
  <si>
    <t>218810447'= DEPOSITOS POR DEVOLUCAO DE VALORES NAO RECLAM149100000019828259796</t>
  </si>
  <si>
    <t>218810447'= DEPOSITOS POR DEVOLUCAO DE VALORES NAO RECLAM149100000063895234672</t>
  </si>
  <si>
    <t>218810447'= DEPOSITOS POR DEVOLUCAO DE VALORES NAO RECLAM149100000090400888000142</t>
  </si>
  <si>
    <t>218913603'= ORDENS BANCARIAS CANCELADAS14919800002024OB006662</t>
  </si>
  <si>
    <t>218913603'= ORDENS BANCARIAS CANCELADAS14919800002024OB006674</t>
  </si>
  <si>
    <t>218913603'= ORDENS BANCARIAS CANCELADAS14919800002025OB001158</t>
  </si>
  <si>
    <t>218913603'= ORDENS BANCARIAS CANCELADAS14919800002025OB001169</t>
  </si>
  <si>
    <t>218913603'= ORDENS BANCARIAS CANCELADAS14919800002025OB001180</t>
  </si>
  <si>
    <t>218913603'= ORDENS BANCARIAS CANCELADAS14919800052025OB000035</t>
  </si>
  <si>
    <t>311110100VENCIMENTOS E SALARIOSSEM INFORMACAO</t>
  </si>
  <si>
    <t>332359900SERVICOS PRESTADOS DIVERSOS - PJSEM INFORMACAO</t>
  </si>
  <si>
    <t>332410100CONTRATO DE TERC. POR SUBST. DE M.O.SEM INFORMACAO</t>
  </si>
  <si>
    <t>342440200MULTAS DEDUTIVEISSEM INFORMACAO</t>
  </si>
  <si>
    <t>342440400ENCARGOS DE MORASEM INFORMACAO</t>
  </si>
  <si>
    <t>343910103ATUALIZACAO MONETARIA - DEMAIS ATIVOSSEM INFORMACAO</t>
  </si>
  <si>
    <t>371110100IMPOSTO S/ PROPRIEDADE TERRITORIAL RURALSEM INFORMACAO</t>
  </si>
  <si>
    <t>Reserva Legal</t>
  </si>
  <si>
    <t>Reserva de incentivos Fiscais</t>
  </si>
  <si>
    <t>Lucros/Prejuízos Acumulados</t>
  </si>
  <si>
    <t>LIMITE DE SAQUE COM VINCULAÇÃO DE PAGAMENTO</t>
  </si>
  <si>
    <t xml:space="preserve"> Março 2025</t>
  </si>
  <si>
    <t xml:space="preserve">CONTAS A RECEBER </t>
  </si>
  <si>
    <t xml:space="preserve"> Produtos  (a)</t>
  </si>
  <si>
    <t xml:space="preserve"> Serviços (a)</t>
  </si>
  <si>
    <t xml:space="preserve"> Subvenções a receber (b)</t>
  </si>
  <si>
    <t>ESTOQUE</t>
  </si>
  <si>
    <t>O inventário físico dos estoques foi realizado pela empresa Mastercode Service Consultoria Patrimonias Ltda, contratada pela Nuclep.</t>
  </si>
  <si>
    <t>Matéria prima</t>
  </si>
  <si>
    <t>Importação em andamento</t>
  </si>
  <si>
    <t>Adiantamentos a fornecedores</t>
  </si>
  <si>
    <t>1 - CONTEXTO OPERACIONAL</t>
  </si>
  <si>
    <t>2 - PREPARAÇÃO E APRESENTAÇÃO DAS DEMONSTRAÇÕES FINANCEIRAS</t>
  </si>
  <si>
    <t>3 - SUMÁRIO DAS PRINCIPAIS PRÁTICAS CONTÁBEIS ADOTADAS</t>
  </si>
  <si>
    <t>TRIBUTOS FEDERAIS</t>
  </si>
  <si>
    <t>TRIBUTOS ESTADUAIS E MUNICIPAIS</t>
  </si>
  <si>
    <t>TOTAL DE IMPOSTOS A RECUPERAR</t>
  </si>
  <si>
    <t>Imposto de renda e C.S.L.L</t>
  </si>
  <si>
    <t>Adiantamentos a prestadores de serviços</t>
  </si>
  <si>
    <t>Outras contas</t>
  </si>
  <si>
    <t xml:space="preserve">(-) Perdas estimadas em créditos de liquidação duvidosa </t>
  </si>
  <si>
    <t xml:space="preserve">DEMAIS CRÉDITOS A RECEBER </t>
  </si>
  <si>
    <t>São os direitos a receber após 12 (doze) meses e referem-se a:</t>
  </si>
  <si>
    <t>DIREITOS A RECEBER DE LONGO PRAZO</t>
  </si>
  <si>
    <t>Ativos</t>
  </si>
  <si>
    <t>Inativos - amortizando</t>
  </si>
  <si>
    <t>Inativos - com processo judicializado</t>
  </si>
  <si>
    <t>Inativos - em tratativas</t>
  </si>
  <si>
    <t xml:space="preserve">Inativos - negociando parcelamento </t>
  </si>
  <si>
    <t>PLANO MÉDICO (COPARTICIPAÇÃO EMPREGADOS )</t>
  </si>
  <si>
    <t>Fatura/Duplicata a receber - produtos</t>
  </si>
  <si>
    <t>Fatura/Duplicata a receber - prestação de serviços</t>
  </si>
  <si>
    <t>(-) Perdas estimadas em créditos de liquidação duvidosa</t>
  </si>
  <si>
    <t xml:space="preserve">Plano médico – coparticipação empregados      </t>
  </si>
  <si>
    <t>b) Plano de Saúde de Autogestão - os valores a receber de coparticipação dos empregados referem-se a:</t>
  </si>
  <si>
    <t>Trabalhistas</t>
  </si>
  <si>
    <t>CAUÇÃO</t>
  </si>
  <si>
    <t>Adiantamentos a empregados (13º salário e Férias)</t>
  </si>
  <si>
    <t>Cíveis</t>
  </si>
  <si>
    <t xml:space="preserve"> Dezembro 2024</t>
  </si>
  <si>
    <t>Sistema de Governança Corporativo – ERP - BENNER</t>
  </si>
  <si>
    <t>Outros Ativos Intangíveis</t>
  </si>
  <si>
    <t>Amortização Acumulada dos Ativos Intangíveis</t>
  </si>
  <si>
    <t>São os recursos oriundos do Tesouro Nacional relacionados aos ativos que foram adquiridos pela Companhia a partir do exercício de 2008, e estão sendo reconhecidos como receita ao longo do período da vida útil do bem na mesma proporção de sua depreciação, de acordo com o pronunciamento contábil emitido pelo CPC nº 07. Os saldos estão apresentados a seguir:</t>
  </si>
  <si>
    <t>EXERCÍCIO</t>
  </si>
  <si>
    <t>Subvenções para investimentos</t>
  </si>
  <si>
    <t>Aquisições</t>
  </si>
  <si>
    <t>Depreciação</t>
  </si>
  <si>
    <t>SUBVENÇÕES PARA AQUISIÇÃO DE IMOBILIZADO</t>
  </si>
  <si>
    <t>O saldo é composto de obrigações com empresas que fornecem materiais para o estoque do almoxarifado, materiais para consumo imediato e serviços como plano médico, transporte, alimentação, dentre outros. O aumento na conta fornecedores é decorrente da contenção de limite de pagamento, tanto de fonte tesouro quanto de fonte própria, imposta pela Secretaria do Tesouro Nacional aos entes administrativos integrantes do Orçamento Geral da União, dentre os quais se situa a Nuclep.</t>
  </si>
  <si>
    <t>No país</t>
  </si>
  <si>
    <t>No exterior</t>
  </si>
  <si>
    <t>SALÁRIOS E CONSIGNAÇÕES E ENCARGOS A PAGAR</t>
  </si>
  <si>
    <t>SUBTOTAL</t>
  </si>
  <si>
    <t>FÉRIAS E ENCARGOS SOBRE FÉRIAS A PAGAR</t>
  </si>
  <si>
    <t>Salários e consignações a pagar</t>
  </si>
  <si>
    <t>FGTS s/ salários e consignações</t>
  </si>
  <si>
    <t>INSS s/ salários e consignações</t>
  </si>
  <si>
    <t>Férias a pagar</t>
  </si>
  <si>
    <t>FGTS s/ férias</t>
  </si>
  <si>
    <t>INSS s/ férias</t>
  </si>
  <si>
    <t>São tributos que incidem sobre prestações de serviços e sobre as receitas com vendas entre outros, conforme contrato de comercialização e com recolhimento no prazo do vencimento.
As Obrigações Tributárias são constantemente compensadas à medida que surgem os créditos a recuperar/compensar, conforme nota explicativa nº 7, e devidamente acompanhadas nas obrigações acessórias.
O saldo dos tributos estaduais referem-se aos valores a pagar do DIFAL (diferencial de alíquota do ICMS) cuja obrigação é quitada no vencimento sempre no dia 10 do mês seguinte ao da competência.</t>
  </si>
  <si>
    <t>TRIBUTOS POR ENTES</t>
  </si>
  <si>
    <t>TOTAL DOS IMPOSTOS A RECOLHER</t>
  </si>
  <si>
    <t>Tributos federais</t>
  </si>
  <si>
    <t>Tributos estaduais</t>
  </si>
  <si>
    <t>Tributos municipais</t>
  </si>
  <si>
    <t>Compreende os valores recebidos por conta de eventos contratuais de fabricação e a receita é reconhecida na medida em que os eventos físicos de cada contrato são proporcionalmente concluídos.</t>
  </si>
  <si>
    <t>Centro de Intendência Tecnológico da Marinha - CEITMSP</t>
  </si>
  <si>
    <t>EKTT9 Serviços de Transmissão de Energia Elétrica SPE</t>
  </si>
  <si>
    <t>Amazônia Azul Tecnologia de Defesa S.A. - Amazul</t>
  </si>
  <si>
    <t>Empresa Brasileira de Solda Elétrica S.A. - EBSE</t>
  </si>
  <si>
    <t>Correspondem às consignações efetuadas na folha de pagamento dos empregados, inerentes à coparticipação de benefícios concedidos pela empresa para serem repassados a diversos credores.</t>
  </si>
  <si>
    <t>Pensão alimentícia</t>
  </si>
  <si>
    <t>Planos de previdência e assistência e seguro</t>
  </si>
  <si>
    <t>Representantes de classes</t>
  </si>
  <si>
    <t>Consignações a pagar</t>
  </si>
  <si>
    <t>Depósitos retidos</t>
  </si>
  <si>
    <t>Refere-se ao contrato de dívida celebrado entre a Nuclep e o Nucleos, por meio do termo de transação firmado em novembro de 2007 e homologado em juízo, cujo objeto é a composição da dívida previdencial e assistencial. Pelos termos do acordo, a dívida foi dividida em 360 parcelas mensais e sucessivas (Tabela "Price"), com início em dezembro de 2009, devidamente atualizada pela variação do INPC, acrescida de juros de 6% ao ano e são pagas com recursos da União.</t>
  </si>
  <si>
    <t>O PED-2021 refere-se ao valor mínimo a equacionar apurado no exercício de 2021 (excedente ao limite de solvência previsto no art. 29 da Resolução CNPC no 30/2018), equacionado pelas patrocinadoras, participantes ativos e assistidos, observada a proporção contributiva em relação às contribuições normais vigentes no período em que foi apurado o resultado deficitário.</t>
  </si>
  <si>
    <t>Foi aprovado pelo Conselho de Administração na 164ª RCA, em 12/12/2022, o Plano de Equacionamento do Déficit do Nucleos, que serão pagos em 286 meses, considerando 13 parcelas anuais, cujos pagamentos iniciaram em janeiro de 2024 e irão findar em outubro de 2047.</t>
  </si>
  <si>
    <t xml:space="preserve">Produção em andamento                            </t>
  </si>
  <si>
    <t>Pessoal e benefícios</t>
  </si>
  <si>
    <t>Tecnologia da informação</t>
  </si>
  <si>
    <t>São recursos financeiros recebidos do Tesouro Nacional, em forma de subvenção para cobrir custos/despesas que ainda não incorreram. De acordo com a deliberação CVM nº 96/22 e CPC 07, e considerando que a receita de subvenção deve ser confrontada com as despesas que se pretende compensar, a Nuclep reclassificou para receita de subvenção a realizar, os valores que ainda não estão aptos para o confronto com os respectivos custos ou despesas. A subvenção do não circulante foi destinada a custear os contratos de construção de longo prazo que estão em andamento.</t>
  </si>
  <si>
    <t>PREVIDÊNCIA PRIVADA - NUCLEOS</t>
  </si>
  <si>
    <t>A Companhia constitui provisões nos processos judiciais de natureza trabalhista, cível, tributária e ambiental decorrentes do curso normal de suas atividades, em montante suficiente para cobrir as perdas consideradas prováveis e para as quais uma estimativa confiável possa ser realizada. As principais ações referem-se a:</t>
  </si>
  <si>
    <t>Dentre as ações de reclamações trabalhistas, constam o processo movido pelo Sindicato dos Engenheiros no Estado do Rio de Janeiro - SENGE, segundo informações do jurídico o processo encontra-se em fase de análise pelo Perito Judicial.</t>
  </si>
  <si>
    <t>Os passivos contingentes não são reconhecidos contabilmente e estão assim representados:</t>
  </si>
  <si>
    <t>PROCESSOS</t>
  </si>
  <si>
    <t xml:space="preserve">Processos trabalhistas </t>
  </si>
  <si>
    <t>Processos cíveis</t>
  </si>
  <si>
    <t>PASSIVOS CONTINGENTES</t>
  </si>
  <si>
    <t xml:space="preserve">Ações cíveis </t>
  </si>
  <si>
    <t xml:space="preserve">Ações trabalhistas </t>
  </si>
  <si>
    <t>Reserva de incentivos fiscais</t>
  </si>
  <si>
    <t>Reserva legal</t>
  </si>
  <si>
    <t>Lucros (Prejuízos) acumulados</t>
  </si>
  <si>
    <t xml:space="preserve">O capital social subscrito e integralizado, é de R$ 63.114 mil (sessenta e três milhões, cento e quatorze mil reais) dividido em ações ordinárias nominativas, no valor de R$ 1,00 (um real) cada uma. </t>
  </si>
  <si>
    <t>Constituída nos termos do artigo 193 da Lei nº 6.404/1976, referente ao percentual de 5% dos lucros acumulados, até o limite de 20% do capital social. O saldo da reserva legal em 31 de dezembro de 2024 é de R$976 mil.</t>
  </si>
  <si>
    <t>Reserva decorrente da realização dos recursos que foram recebidos pelo Tesouro Nacional, a título de subvenções, art. 195-A da Lei 6.404/1976, que foram objeto de ajustes por retificação de erros, conforme parecer técnico da Fundação Instituto de Pesquisas Contábeis, Atuariais e Financeiras (FIPECAFI) com base nos registros das subvenções a receber referentes aos pagamentos junto ao Nucleos e do registro da probabilidade de perdas referentes aos processos judiciais classificados como prováveis, como também pela realização das subvenções para investimentos. A constituição da reserva ainda será objeto de deliberação em Assembleia de Acionistas.</t>
  </si>
  <si>
    <t>Com base nos ajustes efetuados nas demonstrações financeiras de 2023, como também na reversão do  registro do Plano de Equacionamento de Déficit – PED-2021 em setembro de 2024, o prejuízo acumulado da Companhia reverteu em lucro acumulado. Como já evidenciado na Nota 2.1, a mudança foi ocasionada em função do registro das subvenções, que voltaram a ser registradas em conformidade com os padrões contábeis exigidos pelo Conselho Federal de Contabilidade – CFC, em especial o CPC nº 07– Subvenções e Assistência Governamental, emitido pelo Comitê de Pronunciamentos Contábeis.</t>
  </si>
  <si>
    <t>Após o registro do terreno nas demonstrações financeiras da Companhia, no valor de R$1.560 mil, com base no laudo de avaliação o valor do imóvel era de R$161.424 mil.  O ajuste efetuado foi no montante de  R$ 159.864 mil, com o intuito de dar maior transparência e confiabilidade às informações contábeis, melhorando a situação patrimonial e consequentemente os índices econômico-financeiros, fato esse já mencionado no acórdão 805/2001 do TCU, que inclusive menciona os efeitos negativos para a NUCLEP, que possuia informações deficientes em termos de relevância por ter um ativo registrado contabilmente com o valor menor que o valor justo.</t>
  </si>
  <si>
    <t>A empresa efetuou a reavaliação dos ativos operacionais da Companhia no ano 2000 e optou em manter seus saldos até a sua efetiva realização.</t>
  </si>
  <si>
    <t>Plano de equacionamento de déficit - PED</t>
  </si>
  <si>
    <t>Saldo</t>
  </si>
  <si>
    <t>Realização  (baixa)</t>
  </si>
  <si>
    <t>RESERVA DE REAVALIAÇÃO DAS INSTALAÇÕES E EDIFÍCIOS</t>
  </si>
  <si>
    <t>(+) Resultado do exercício</t>
  </si>
  <si>
    <t>(-) Destinação para reserva legal - 5% (art. 193, Lei nº 6.404/1976)</t>
  </si>
  <si>
    <t>(-) Destinação para reserva de incentivos fiscais (art. 195-A, Lei nº 6.404/1976)</t>
  </si>
  <si>
    <t>(=) Lucros acumulados</t>
  </si>
  <si>
    <t>PROPOSTA DE DESTINAÇÃO DOS LUCROS ACUMULADOS</t>
  </si>
  <si>
    <t>Na 47ª Assembleia Geral Ordinária foi autorizado proceder ao aumento do Capital Social com os recursos contabilizados na rubrica de AFAC no Patrimônio Líquido, de forma a atender o disposto no art. 2º do Decreto n.º 2.673/1998, referente às aquisições de ativo imobilizado relativas ao exercício de 2022, para a manutenção das atividades fabris. Apesar de terem sido consideradas como aumento de capital, as aquisições não correspondem a investimentos que resultem em aumento da capacidade operacional e produtiva da Companhia. Ainda não foi efetuada a alteração do Estatuto Social.  A seguir demonstramos a composição e as suas respectivas depreciações:</t>
  </si>
  <si>
    <t>COMPOSIÇÃO</t>
  </si>
  <si>
    <t>Máquinas e equipamentos industriais</t>
  </si>
  <si>
    <t>Demais equipamentos</t>
  </si>
  <si>
    <t>Móveis e utensílios</t>
  </si>
  <si>
    <t>Aquisições 2022</t>
  </si>
  <si>
    <t>Depreciação 2022</t>
  </si>
  <si>
    <t>Depreciação 2023</t>
  </si>
  <si>
    <t>Depreciação 2024</t>
  </si>
  <si>
    <t>Valor Líquido 2024</t>
  </si>
  <si>
    <t>Tecnologia da informação e comunicação</t>
  </si>
  <si>
    <t>A Receita Bruta de Vendas de Produtos e Serviços engloba os valores relativos às contraprestações pelo cumprimento das obrigações de desempenho acordadas nos instrumentos contratuais firmados pela empresa com a Eletronuclear, tais como a Locação de área externa para armazenamento de equipamentos de Angra 3 e a fabricação e fornecimento de condensadores para Usina Nuclear de Angra 3. Além disso, inclui acordos com a Frank's Internacional Brasil LTDA para a industrialização por soldagem e armazenamento de tubos e para a utilização de infraestrutura fabril; com a Amazul para o fornecimento de peças forjadas do Bloco 40 do LABGENE; com a Incomisa industrialização por corte, recorte, furação e gravação de chapas pertencentes ao projeto 220397 Torre Boel; com a INB por serviços manutenção para a Autoclave Basculante RBI11BH701; com a CTMSP para fabricação de Geradores de Vapor; com a Superpesa para serviço de apoio incluindo disponibilização do Terminal de Uso Privativo – TUP; com a EBSE para Industrialização Parcial das Estacas de Sucção; e a Petrobras para Industrialização de Estacas Topedos.</t>
  </si>
  <si>
    <t>De acordo com as Informações por Segmento estabelecidas no Pronunciamento Técnico CPC 22, em conjunto com o CFC e a CVM (Deliberação CVM nº 103/22), a receita bruta por cliente está discriminada abaixo:</t>
  </si>
  <si>
    <t>RECEITA BRUTA POR CLIENTES</t>
  </si>
  <si>
    <t xml:space="preserve">  CTMSP</t>
  </si>
  <si>
    <t xml:space="preserve">  SUPERPESA</t>
  </si>
  <si>
    <t xml:space="preserve">  ELETRONUCLEAR</t>
  </si>
  <si>
    <t xml:space="preserve">  PETROBRAS</t>
  </si>
  <si>
    <t xml:space="preserve">  FRANK'S</t>
  </si>
  <si>
    <t xml:space="preserve">  AMAZUL</t>
  </si>
  <si>
    <t xml:space="preserve">  INCOMISA</t>
  </si>
  <si>
    <t>Aplica-se ao contrato CT 11/2019, estabelecido com a Amazônia Azul Tecnologias de Defesa S.A. - Amazul (conclusão da fabricação, montagem e fornecimento do vaso e estruturas internas da contenção e a fabricação do tanque de blindagem primária incluindo seu tanque de expansão e os seus trocadores de calor do LABGENE - Laboratório de Geração de Energia Nucleoelétrica - Bloco 40), o benefício do RETID, que tem por objetivo estimular o desenvolvimento de projetos na área estratégica de defesa. Dadas as isenções da PIS/Pasep, da COFINS e do Imposto sobre Produtos Industrializados - IPI, verifica-se um impacto no reconhecimento da receita inerente ao projeto, uma vez que seus custos são suprimidos em consequência da desoneração tributária.</t>
  </si>
  <si>
    <t xml:space="preserve">Em virtude da falta de investimentos na área nuclear e atuando em um mercado bastante restrito, a Companhia foi obrigada a reorientar suas atividades comerciais para outros segmentos. Com isso, as necessidades de capital de giro vêm sendo supridas com recursos da União, a título de subvenções. </t>
  </si>
  <si>
    <t>Os suportes financeiros recebidos são destinados à manutenção da empresa que têm como objetivo fazer face às despesas com pessoal e parte do custeio operacional. São registrados contabilmente em conformidade com o Comitê de Pronunciamentos Contábeis – CPC nº 07, ou seja, as receitas de subvenções são confrontadas com os custos e as despesas correspondentes.</t>
  </si>
  <si>
    <t>RECURSOS ORÇAMENTÁRIOS - POR VINCULAÇÃO DE PAGAMENTO</t>
  </si>
  <si>
    <t xml:space="preserve">  Pessoal</t>
  </si>
  <si>
    <t xml:space="preserve">  TOTAL DA RECEITA OPERACIONAL BRUTA </t>
  </si>
  <si>
    <t>CONSOLIDAÇÃO DA RECEITA OPERACIONAL LÍQUIDA</t>
  </si>
  <si>
    <t xml:space="preserve">  RECEITA OPERACIONAL LÍQUIDA</t>
  </si>
  <si>
    <t xml:space="preserve">  Custeio: sentença e benefícios</t>
  </si>
  <si>
    <t xml:space="preserve">  Custeio / Investimentos</t>
  </si>
  <si>
    <t xml:space="preserve">  Realização de subvenção</t>
  </si>
  <si>
    <t xml:space="preserve">  Total dos recursos orçamentários do Tesouro Nacional</t>
  </si>
  <si>
    <t xml:space="preserve">  Receita operacional bruta</t>
  </si>
  <si>
    <t xml:space="preserve">  (-) Impostos, contribuições e outras deduções sobre vendas</t>
  </si>
  <si>
    <t>Os custos de produção da NUCLEP são oriundos dos recursos próprios e dos recursos de subvenções, já que se trata de uma empresa dependente financeiramente da União. Os insumos referentes à mão de obra, transporte e alimentação são 100% (cem por cento) adquiridos com recursos subvencionados.</t>
  </si>
  <si>
    <t>De acordo com as Informações por Segmento estabelecidas no Pronunciamento Técnico CPC nº 22, em conjunto com o CFC e a CVM (Deliberação CVM nº 103/22), a seguir estão discriminados os principais clientes que foram apropriados os Custos dos Produtos e Serviços Vendidos:</t>
  </si>
  <si>
    <t>CUSTOS DOS PRODUTOS VENDIDOS POR CLIENTES</t>
  </si>
  <si>
    <t>CTMSP</t>
  </si>
  <si>
    <t>PETROBRÁS</t>
  </si>
  <si>
    <t>AMAZUL</t>
  </si>
  <si>
    <t>EBSE</t>
  </si>
  <si>
    <t>ELETRONUCLEAR</t>
  </si>
  <si>
    <t>JR NUCLEAR POWER PLANT</t>
  </si>
  <si>
    <t>FRANK'S</t>
  </si>
  <si>
    <t>NEOENERGIA</t>
  </si>
  <si>
    <t>INB</t>
  </si>
  <si>
    <t>INCOMISA</t>
  </si>
  <si>
    <t>SUPERPESA</t>
  </si>
  <si>
    <t>São os gastos incorridos pelas áreas da Presidência; dos Conselhos de Administração e Fiscal; das Diretorias Administrativa e Comercial, além dos custos não aplicados à produção da Diretoria Industrial, a saber:</t>
  </si>
  <si>
    <t>DESPESAS ADMNISTRATIVAS E COMERCIAIS</t>
  </si>
  <si>
    <t>Benefícios</t>
  </si>
  <si>
    <t>Previdência</t>
  </si>
  <si>
    <t>Previdência complementar - termo de equacionamento</t>
  </si>
  <si>
    <t>Salários e encargos</t>
  </si>
  <si>
    <t>Materiais, serviços e provisões</t>
  </si>
  <si>
    <t>Depreciação, amortização e perda por recuperabilidade</t>
  </si>
  <si>
    <t>Demais despesas e reversões</t>
  </si>
  <si>
    <t>RECEITAS E DESPESAS FINANCEIRAS</t>
  </si>
  <si>
    <t>Receitas Financeiras</t>
  </si>
  <si>
    <t xml:space="preserve">       </t>
  </si>
  <si>
    <t xml:space="preserve">        variações monetárias</t>
  </si>
  <si>
    <t xml:space="preserve">        juros, multas e taxas</t>
  </si>
  <si>
    <t xml:space="preserve">   TOTAL DAS RECEITAS FINANCEIRAS</t>
  </si>
  <si>
    <t>Despesas financeiras</t>
  </si>
  <si>
    <t xml:space="preserve">   TOTAL DAS DESPESAS FINANCEIRAS</t>
  </si>
  <si>
    <t>RESULTADO FINANCEIRO</t>
  </si>
  <si>
    <t xml:space="preserve">O resultado financeiro corresponde aos encargos de juros, variações monetárias e cambiais sobre o saldo dos passivos exigíveis (despesas financeiras) deduzidos das receitas financeiras. </t>
  </si>
  <si>
    <t>O NUCLEOS – Instituto de Seguridade Social (“Nucleos”, “Instituto” ou “Entidade”) é uma entidade fechada de previdência complementar, sem fins lucrativos, com autonomia administrativa e financeira por prazo indeterminado, criada em 1979, com sede na cidade do Rio de Janeiro e com funcionamento autorizado por meio da Portaria nº 1.514, de 02 de maio de 1979, do antigo Ministério da Previdência e Assistência Social (MPAS), que aprovou seu estatuto. É uma entidade regida pelas Leis Complementares n° 108 e 109, ambas de 29/05/2001 (LC 108/2001 e LC 109/2001).</t>
  </si>
  <si>
    <t>A Entidade tem por objetivo instituir e administrar planos de benefícios de caráter previdenciário, complementares aos da Previdência Social, acessíveis aos empregados e respectivos beneficiários vinculados aos seus patrocinadores: (i) Nuclebrás Equipamentos Pesados S.A. - NUCLEP; (ii) Eletronuclear S.A.; (iii) Indústrias Nucleares do Brasil S.A. – INB, bem como aos do próprio Nucleos.</t>
  </si>
  <si>
    <t>As fontes de custeio dos planos de benefícios são as contribuições dos participantes ativos e assistidos e das patrocinadoras. As referidas contribuições são destinadas à formação das provisões, reservas e fundos necessários à garantia do pagamento dos benefícios contratados e da manutenção da estrutura administrativa da Entidade.</t>
  </si>
  <si>
    <t>Os recursos são aplicados de acordo com as diretrizes estabelecidas pelo Conselho Monetário Nacional (CMN) e normas expedidas pelo CNPC e Previc.</t>
  </si>
  <si>
    <t>A NUCLEP possui os seguintes planos de benefícios oferecidos aos seus empregados:</t>
  </si>
  <si>
    <t>O PBB é um plano de benefícios de caráter previdenciário, estruturado na modalidade Benefício Definido (BD), com solidariedade dos compromissos entre os patrocinadores, nos termos do Convênio de Adesão.</t>
  </si>
  <si>
    <t>O regulamento em vigor foi aprovado pela Superintendência Nacional de Previdência Complementar (Previc), por meio da Portaria nº 710, de 24 de outubro de 2021, publicada no Diário Oficial da União de 29 de outubro de 2021. Desde 29 de outubro de 2021, o PBB encontra-se fechado ao ingresso de novos participantes.</t>
  </si>
  <si>
    <t>Os seguintes benefícios são oferecidos aos seus participantes e beneficiários a título de suplementação (benefício complementar ao da Previdência Social), na forma do Regulamento: (i) aposentadoria por tempo de contribuição; (ii) aposentadoria por tempo de contribuição antecipada; (iii) aposentadoria especial; (iv) aposentadoria especial antecipada; (v) aposentadoria por idade; (vi) aposentadoria por invalidez; (vii) pensão por morte; e (viii) auxílio-doença.</t>
  </si>
  <si>
    <t>Ocorrendo a cessação do vínculo empregatício com a patrocinadora, o participante poderá optar pelos institutos previstos na legislação, observadas as condições estabelecidas no Regulamento do Plano: (i) resgate; (ii) autopatrocínio; (iii) benefício proporcional diferido - BPD; e (iv) portabilidade.</t>
  </si>
  <si>
    <t>A quantidade de participantes do PBB está demonstrada no quadro a seguir:</t>
  </si>
  <si>
    <t>PARTICIPANTES</t>
  </si>
  <si>
    <t>NUCLEP</t>
  </si>
  <si>
    <t>Aposentados</t>
  </si>
  <si>
    <t>Pensionistas</t>
  </si>
  <si>
    <t>* Todas as patrocinadoras do plano PBB</t>
  </si>
  <si>
    <r>
      <t>NUCLEOS</t>
    </r>
    <r>
      <rPr>
        <sz val="12"/>
        <rFont val="Times New Roman"/>
        <family val="1"/>
      </rPr>
      <t>*</t>
    </r>
  </si>
  <si>
    <t>O Plano CD-Nuclep é um plano de benefícios de caráter previdenciário, estruturado na modalidade Contribuição Definida (CD).</t>
  </si>
  <si>
    <t>O Regulamento do Plano em vigor foi aprovado pela Previc pela Portaria no 96, de 11 de fevereiro de 2021, publicada no Diário Oficial da União de 23 de fevereiro de 2021.</t>
  </si>
  <si>
    <t>Os benefícios oferecidos aos participantes e beneficiários do Plano são: (i) aposentadoria normal, (ii) aposentadoria por invalidez e (iii) pensão por morte. A concessão desses benefícios dependerá do preenchimento de requisitos de elegibilidade e demais condições estabelecidas no Regulamento, que também fixa regras para a opção pelos institutos obrigatórios previstos na legislação, em caso de cessação do vínculo com a patrocinadora.</t>
  </si>
  <si>
    <t>garantias</t>
  </si>
  <si>
    <t>fontes</t>
  </si>
  <si>
    <t xml:space="preserve">   Baixa da reserva de reavaliação</t>
  </si>
  <si>
    <t>EM 31 DE MARÇO DE 2025</t>
  </si>
  <si>
    <t>Março 2024</t>
  </si>
  <si>
    <t>Saldo final em 31 de Março de 2024</t>
  </si>
  <si>
    <t>Março 2025</t>
  </si>
  <si>
    <t>Saldo em 31 de Dezembro de 2024</t>
  </si>
  <si>
    <t>Saldo final em 31 de Março de 2025</t>
  </si>
  <si>
    <t>CMV DE DEZEMBRO 2024 - AJUSTE REALIZADO EM CONTA DE RESULTADO EM JANEIRO DE 2025</t>
  </si>
  <si>
    <t>ANULAÇÃO DA CMV DE DEZEMBRO 2024 - AJUSTE REALIZADO EM CONTA DE RESULTADO EM JANEIRO DE 2025</t>
  </si>
  <si>
    <t>C.C. - Balancete</t>
  </si>
  <si>
    <t>As contas a receber tem a seguinte composição:</t>
  </si>
  <si>
    <t>Em 09/01/2024, a Presidente do Conselho Fiscal da NUCLEP, por meio do ofício nº CF-001/2024, solicitou ao MME informações sobre a regularização do terreno em função das manifestações emanadas pela Procuradoria Geral da Fazenda Nacional - PGFN por meio da Nota SEI nº 6/2022/CAS/PGACFFS/PGFNME, de 3/2/2022 e pela Secretaria do Tesouro Nacional, por intermédio do Ofício SEI nº 29174/2022/ME, de 2/2/2022.</t>
  </si>
  <si>
    <t xml:space="preserve">Com base na premissa de que um ativo deve ser reconhecido no balanço patrimonial quando for provável que benefícios econômicos futuros dele provenientes fluirão para a empresa, de modo que seu custo ou valor possa ser mensurado com confiabilidade, procedeu-se ao reconhecimento contábil do terreno R$ 1.560 mil como ativo da empresa em 2012. Em seguida, a NUCLEP ajustou o valor contábil do imóvel com base em laudo de avaliações, que resultou num ajuste no valor de R$ 159.864 mil, com a finalidade de corrigir um erro tendo em vista os valores, que tornavam as demonstrações financeiras deficientes em termos de relevância por ter um ativo registrado na contabilidade com o valor menor que o valor justo. Cabe frisar que juridicamente a titularidade deste terreno onde se encontram as instalações da NUCLEP está em nome das Indústrias Nucleares do Brasil – INB, razão pela qual o registro contábil deste imóvel consta como bem patrimonial nas duas empresas, até que os órgãos superiores decidam como solucionar esse imbróglio. </t>
  </si>
  <si>
    <t>FPAG</t>
  </si>
  <si>
    <t>PED 2021        +</t>
  </si>
  <si>
    <t xml:space="preserve">b) As Perdas Estimadas em Créditos de Liquidação Duvidosa - PECLD são fundamentadas em análise dos créditos, que leva em consideração o histórico e os riscos envolvidos em cada operação, sendo constituída em montante considerado suficiente para cobrir as prováveis perdas na realização dos créditos. </t>
  </si>
  <si>
    <t>c) Plano de Saúde de Autogestão - os valores a receber de coparticipação dos empregados referem-se a:</t>
  </si>
  <si>
    <t xml:space="preserve">Os Ativos estão demonstrados ao custo de aquisição ou custo de construção, que representa os custos para colocar o ativo em condições de operação, acrescidos das reavaliações do ativo industrial ocorrida em 2000, deduzido da depreciação acumulada calculada pelo método linear, com base na vida útil estimada e das perdas por redução ao valor recuperável de ativos (impairment).
</t>
  </si>
  <si>
    <t>O Imobilizado apresenta a seguinte composição:</t>
  </si>
  <si>
    <t>Em 14/09/2018, o MCTI estabeleceu, através do Aviso nº 371/2018, a reabertura do processo nº 00400.006127/2010-18, que visa a regularização do terreno em que se encontra a fábrica da NUCLEP, constituindo um grupo de trabalho com representantes da NUCLEP, INB, Comissão Nacional de Energia Nuclear (CNEN) e MCTI.</t>
  </si>
  <si>
    <t>Em 18/05/2021, o Ministério de Minas e Energia - MME encaminhou a NOTA TÉCNICA Nº 20/2021/ASSEC, referente ao processo Nº 48340.000188/2021-02, com o objetivo de se chegar a uma conclusão sobre à regularização da titularidade do terreno. A Secretaria Executiva daquela Pasta, ao encaminhar a Nota Técnica em tela, tanto à diretoria da NUCLEP quanto à da INB, solicitou que as empresas se manifestassem sobre o tema.</t>
  </si>
  <si>
    <t>Entre 24 de novembro e 03 de dezembro de 2021, foram realizados os trabalhos de campo para o Levantamento topográfico do Parque Industrial da NUCLEP pelo 5º Centro de Geoinformação do Exército Brasileiro. Assim, com as plantas e relatório técnicos prontos, foi dado o início ao processo de regularização junto à prefeitura e cartório de imóveis de Itaguaí. Em dezembro de 2023, todo o levantamento topográfico do Parque Industrial da NUCLEP realizado em 2021 já se encontrava sob análise do cartório de Itaguaí.</t>
  </si>
  <si>
    <r>
      <t xml:space="preserve">Correspondem à utilização dos seguintes </t>
    </r>
    <r>
      <rPr>
        <i/>
        <sz val="12"/>
        <color rgb="FF000000"/>
        <rFont val="Times New Roman"/>
        <family val="1"/>
      </rPr>
      <t>softwares</t>
    </r>
    <r>
      <rPr>
        <sz val="12"/>
        <color rgb="FF000000"/>
        <rFont val="Times New Roman"/>
        <family val="1"/>
      </rPr>
      <t xml:space="preserve">: 1. </t>
    </r>
    <r>
      <rPr>
        <i/>
        <sz val="12"/>
        <color rgb="FF000000"/>
        <rFont val="Times New Roman"/>
        <family val="1"/>
      </rPr>
      <t>Enterprise Resource Planning</t>
    </r>
    <r>
      <rPr>
        <sz val="12"/>
        <color rgb="FF000000"/>
        <rFont val="Times New Roman"/>
        <family val="1"/>
      </rPr>
      <t xml:space="preserve"> – ERP, que continua executando melhorias pontuais em fase de implantação pela empresa Benner. 2. Demais: Licença de Microsoft SQL </t>
    </r>
    <r>
      <rPr>
        <i/>
        <sz val="12"/>
        <color rgb="FF000000"/>
        <rFont val="Times New Roman"/>
        <family val="1"/>
      </rPr>
      <t>Server Enterprise</t>
    </r>
    <r>
      <rPr>
        <sz val="12"/>
        <color rgb="FF000000"/>
        <rFont val="Times New Roman"/>
        <family val="1"/>
      </rPr>
      <t xml:space="preserve"> 2019 por 10 anos, em substituição da versão 2008, </t>
    </r>
    <r>
      <rPr>
        <i/>
        <sz val="12"/>
        <color rgb="FF000000"/>
        <rFont val="Times New Roman"/>
        <family val="1"/>
      </rPr>
      <t>software</t>
    </r>
    <r>
      <rPr>
        <sz val="12"/>
        <color rgb="FF000000"/>
        <rFont val="Times New Roman"/>
        <family val="1"/>
      </rPr>
      <t xml:space="preserve"> necessário e obrigatório para o </t>
    </r>
    <r>
      <rPr>
        <i/>
        <sz val="12"/>
        <color rgb="FF000000"/>
        <rFont val="Times New Roman"/>
        <family val="1"/>
      </rPr>
      <t>software "Steel projects</t>
    </r>
    <r>
      <rPr>
        <sz val="12"/>
        <color rgb="FF000000"/>
        <rFont val="Times New Roman"/>
        <family val="1"/>
      </rPr>
      <t xml:space="preserve">" de gestão dos projetos das torres de transmissão; Licença do </t>
    </r>
    <r>
      <rPr>
        <i/>
        <sz val="12"/>
        <color rgb="FF000000"/>
        <rFont val="Times New Roman"/>
        <family val="1"/>
      </rPr>
      <t>software Commvault</t>
    </r>
    <r>
      <rPr>
        <sz val="12"/>
        <color rgb="FF000000"/>
        <rFont val="Times New Roman"/>
        <family val="1"/>
      </rPr>
      <t xml:space="preserve"> por 3 anos para suporte e manutenção do </t>
    </r>
    <r>
      <rPr>
        <i/>
        <sz val="12"/>
        <color rgb="FF000000"/>
        <rFont val="Times New Roman"/>
        <family val="1"/>
      </rPr>
      <t>software de backup</t>
    </r>
    <r>
      <rPr>
        <sz val="12"/>
        <color rgb="FF000000"/>
        <rFont val="Times New Roman"/>
        <family val="1"/>
      </rPr>
      <t xml:space="preserve"> de dados dos servidores da NUCLEP; e Licença do </t>
    </r>
    <r>
      <rPr>
        <i/>
        <sz val="12"/>
        <color rgb="FF000000"/>
        <rFont val="Times New Roman"/>
        <family val="1"/>
      </rPr>
      <t>software</t>
    </r>
    <r>
      <rPr>
        <sz val="12"/>
        <color rgb="FF000000"/>
        <rFont val="Times New Roman"/>
        <family val="1"/>
      </rPr>
      <t xml:space="preserve"> CAM para </t>
    </r>
    <r>
      <rPr>
        <i/>
        <sz val="12"/>
        <color rgb="FF000000"/>
        <rFont val="Times New Roman"/>
        <family val="1"/>
      </rPr>
      <t>nesting</t>
    </r>
    <r>
      <rPr>
        <sz val="12"/>
        <color rgb="FF000000"/>
        <rFont val="Times New Roman"/>
        <family val="1"/>
      </rPr>
      <t xml:space="preserve"> de chapas por 5 anos (</t>
    </r>
    <r>
      <rPr>
        <i/>
        <sz val="12"/>
        <color rgb="FF000000"/>
        <rFont val="Times New Roman"/>
        <family val="1"/>
      </rPr>
      <t>Lantek Expert</t>
    </r>
    <r>
      <rPr>
        <sz val="12"/>
        <color rgb="FF000000"/>
        <rFont val="Times New Roman"/>
        <family val="1"/>
      </rPr>
      <t>).</t>
    </r>
  </si>
  <si>
    <t>Aplica-se ao contrato  com a Petróleo Brasileiro S.A., referente ao fornecimento de estacas torpedo. É um regime especial brasileiro que visa incentivar a industrialização de bens destinados à exploração e produção de petróleo e gás natural. Criado pelo governo federal, esse regime permite a importação temporária de máquinas, equipamentos, componentes e outros insumos necessários para a produção e manutenção de bens utilizados na indústria de petróleo e gás, com suspensão ou redução de impostos. Os benefícios são a suspensão ou isenção de tributos como Imposto de Importação – II, IPI, PIS/PASEP, COFINS e Adicional ao Frete para Renovação da Marinha Mercante – AFRMM; Diferimento ou isenção do Imposto sobre circulação de Mercadorias e Serviços - ICMS.</t>
  </si>
  <si>
    <t>A Companhia atua no setor de indústria de caldeiraria pesada, que tem como objeto social projetar, desenvolver, fabricar e comercializar componentes pesados relativo a usinas nucleares, assim como equipamentos relativos à construção naval e offshore, e a outros projetos.</t>
  </si>
  <si>
    <t>A sede da Companhia fica localizada no Edifício Londres do Condomínio Le Monde Office, Avenida das Américas, nº 3.500 – Salas 613 e 614, Bloco 01, Barra da Tijuca – Rio de Janeiro – RJ – Cep: 22.640-102.</t>
  </si>
  <si>
    <t>A unidade industrial fica localizada na Av. Gal. Euclydes de Oliveira Figueiredo, 200 - Brisamar - Itaguaí – RJ – Cep:23.825-410.</t>
  </si>
  <si>
    <t>Todas as informações relevantes próprias das demonstrações financeiras estão sendo evidenciadas e correspondem àquelas utilizadas pela Administração na sua gestão.</t>
  </si>
  <si>
    <t>2.1 – DEMONSTRAÇÃO DO VALOR ADICIONADO – DVA</t>
  </si>
  <si>
    <t>A companhia elaborou a DVA nos termos da Deliberação CVM nº 557/08 e do Pronunciamento técnico CPC 09 – Demonstração do Valor Adicionado, a qual é apresentada como parte integrante das Demonstrações Financeiras.</t>
  </si>
  <si>
    <t>2.2 -  BASE DE CONVERSÃO DE MOEDA</t>
  </si>
  <si>
    <t xml:space="preserve">A moeda funcional e a moeda de apresentação da companhia é o Real (R$). As demonstrações financeiras estão apresentadas em milhares de R$.
</t>
  </si>
  <si>
    <t>As operações com moedas estrangeiras são convertidas para a moeda funcional com base nas taxas de câmbio vigentes nas datas das transações ou da avaliação, nas quais os itens são mensurados. Variações positivas e negativas cambiais decorrentes da liquidação dessas operações e da conversão pelas taxas de câmbio no final do exercício, oriundas de ativos e passivos monetários em moedas estrangeiras, são reconhecidas na demonstração do resultado.</t>
  </si>
  <si>
    <t xml:space="preserve">Para melhor compreensão da base de reconhecimento e mensuração aplicadas na preparação das demonstrações financeiras, as práticas contábeis são apresentadas nas respectivas notas explicativas, que tratam dos temas de suas aplicações. </t>
  </si>
  <si>
    <t>A Companhia mantém uma política de seguros considerada suficiente pela administração para cobrir eventuais perdas que possam resultar em prejuízos ao patrimônio da NUCLEP. As coberturas estão assim distribuídas:</t>
  </si>
  <si>
    <t>Seguro</t>
  </si>
  <si>
    <t>Risco Coberto</t>
  </si>
  <si>
    <t>Seguro de bens patrimoniais</t>
  </si>
  <si>
    <t>Incêndio, raio, explosão, implosão e outros</t>
  </si>
  <si>
    <t>Responsabilidade civil diretores e conselheiros</t>
  </si>
  <si>
    <t>Responsabilidade civil</t>
  </si>
  <si>
    <t>Seguro de automóveis</t>
  </si>
  <si>
    <t>Colisão, incêndio, roubo, danos materiais</t>
  </si>
  <si>
    <t>100% tabela FIPE</t>
  </si>
  <si>
    <t>Responsabilidade civil geral</t>
  </si>
  <si>
    <t>Operações industriais / empregador</t>
  </si>
  <si>
    <t>Seguro incêndio – escritório Rio</t>
  </si>
  <si>
    <t>Riscos nomeados – patrimoniais terminal portuário</t>
  </si>
  <si>
    <t xml:space="preserve">Incêndio, implosão,entre outros e quebra de máquinas </t>
  </si>
  <si>
    <t>Seguro de vida em grupo</t>
  </si>
  <si>
    <t>Em 16 de dezembro de 1997, a NUCLEP firmou o contrato C-291/AB-001 para arrendamento do Terminal Marítimo e parte das instalações de sua propriedade com a empresa TMC - Terminal Multimodal de Coroa Grande SPE S/A, para administração, exploração e operação do Terminal Portuário. Durante a evolução do contrato, alguns investimentos que estavam previstos não foram realizados e a TMC deixou de honrar parte dos compromissos financeiros contratuais.</t>
  </si>
  <si>
    <t>Na tentativa de não denunciar o contrato, a NUCLEP pactuou 5 (cinco) aditamentos com o objetivo de viabilizar o saldo a receber e, consequentemente, refazer o plano de recebimento, incluindo as novas obrigações assumidas pelo arrendatário. Entretanto, a TMC continuou inadimplente, levando a NUCLEP, em 29 de setembro de 2004, a ingressar em juízo com Ação de Cobrança cumulada com pedidos de rescisão contratual e reintegração de posse do terminal portuário.</t>
  </si>
  <si>
    <t>Finalmente, em 27 de março de 2009, após o trânsito em julgado da sentença proferida no juízo arbitral, a NUCLEP ganhou a reintegração de posse do terminal e da área retro portuária, mas, quanto à dívida, teve que ingressar com ação de Execução de Títulos Extrajudiciais, distribuída na 36ª Vara Cível da Comarca de Capital – RJ, que ainda aguarda decisão.</t>
  </si>
  <si>
    <t>Os ativos contingentes não são reconhecidos contabilmente, exceto se a administração possuir total controle da situação ou quando houver garantias reais ou decisões judiciais favoráveis sobre as quais não couber mais recursos, caracterizando o ganho como praticamente certo e pela confirmação da capacidade de sua recuperação por recebimento ou compensação com outro exigível.</t>
  </si>
  <si>
    <t>Os ativos contingentes baseiam-se nos relatórios emitidos por consultores jurídicos da empresa e nas normas contábeis emitidas CPC nº 25, em conjunto com o CFC e a CVM (Deliberação CVM nº 72/22).</t>
  </si>
  <si>
    <t>ATIVOS CONTINGENTES</t>
  </si>
  <si>
    <t>Processos Cíveis</t>
  </si>
  <si>
    <t>Processos Trabalhistas</t>
  </si>
  <si>
    <t>A companhia possui prejuízos fiscais e, consequentemente, bases negativas de contribuição social, que geram créditos fiscais e não se encontram refletidos nas demonstrações contábeis.</t>
  </si>
  <si>
    <t>RESULTADO FISCAL</t>
  </si>
  <si>
    <t xml:space="preserve">Imposto de Renda </t>
  </si>
  <si>
    <t>Contribuição Social</t>
  </si>
  <si>
    <t xml:space="preserve">A Companhia possui uma política de transações com partes relacionadas, revisada e aprovada anualmente pelo Conselho de Administração, conforme disposto no Estatuto Social da Nuclep.
Esta política orienta a Nuclep na celebração de transações com partes relacionadas de modo a assegurar que as decisões sejam direcionadas, sempre, com vistas ao interesse da Companhia, dos acionistas e da sociedade, alinhados à transparência, aos processos, às exigências legais e às melhores práticas de governança corporativa. Os Princípios da Política de Transações com Partes Relacionadas da Nuclep têm como alicerce os requisitos de competividade, conformidade, transparência, equidade.
São partes relacionadas da Nuclebras Equipamentos Pesados S.A. – NUCLEP:
</t>
  </si>
  <si>
    <t>(i) União, detentora de 100% das ações da Nuclep, representada pela Procuradoria-Geral da Fazenda Nacional - PGFN;
(ii) Ministério de Minas e Energia - MME, como órgão supervisor;
(iii) Secretaria de Coordenação e Governança das Empresas Estatais – SEST, responsável pelo aprimoramento da governança nas empresas estatais federais;
(iv) Secretaria do Tesouro Nacional - STN, representando a União nos assuntos orçamentário, financeiro e de contabilidade federal;
(v) Eletronuclear S.A., como principal cliente da Companhia;
(vi) Industrias Nucleares do Brasil – INB, cliente da Companhia e integrante do setor nuclear vinculada ao ministério supervisor;
(vii) Nucleos Instituto de Seguridade Social, entidade de previdência complementar, administradora dos planos de previdência privados de natureza previdenciária, acessíveis aos empregados da Nuclep;
(viii) Marinha do Brasil – CTMSP (Centro Tecnológico da Marinha em SP) e CEITMSP (Centro de Intendência Tecnológico da Marinha), como clientes da Companhia;
(ix) Amazonia Azul S.A. – AMAZUL, como cliente da Companhia;
(x) Petrobras S.A, como cliente da Companhia e integrante do ministério supervisor;
(xi) Uma pessoa, ou um membro próximo de sua família, está relacionada com a entidade que reporta a informação se: (a) tiver o controle pleno ou compartilhado da entidade que reporta a informação; (b) tiver influência significativa sobre a entidade que reporta a informação; ou (c) for membro do pessoal chave da administração da entidade que reporta a informação ou da controladora da entidade que reporta a informação.</t>
  </si>
  <si>
    <t>PARTES RELACIONADAS</t>
  </si>
  <si>
    <t>TESOURO NACIONAL</t>
  </si>
  <si>
    <t>ELETRO NUCLEAR</t>
  </si>
  <si>
    <t>NUCLEOS</t>
  </si>
  <si>
    <t>Ativo</t>
  </si>
  <si>
    <t>Direitos a Receber</t>
  </si>
  <si>
    <t>Passivo</t>
  </si>
  <si>
    <t>Obrigações a Pagar</t>
  </si>
  <si>
    <t>MARINHA - CTMSP</t>
  </si>
  <si>
    <t>MARINHA  - CEITMSP</t>
  </si>
  <si>
    <t>Em observância à Comissão Interministerial de Governança Corporativa e de Administração de Participações Societárias da União – CGPAR, nº 30, de 04 de agosto de 2022, demonstramos a remuneração dos membros da Diretoria Executiva, Conselhos de Administração e Fiscal, dos Comitês de Auditoria e de Pessoas, Elegibilidade, Sucessão e Remuneração e a dos empregados e os benefícios concedidos, demonstrados a seguir:</t>
  </si>
  <si>
    <t>Alimentação</t>
  </si>
  <si>
    <t>* Comitês de Auditoria e de Pessoas, Elegibilidade, Sucessão e Remuneração</t>
  </si>
  <si>
    <r>
      <t xml:space="preserve">Comitês </t>
    </r>
    <r>
      <rPr>
        <b/>
        <vertAlign val="superscript"/>
        <sz val="12"/>
        <rFont val="Times New Roman"/>
        <family val="1"/>
      </rPr>
      <t>*</t>
    </r>
    <r>
      <rPr>
        <sz val="12"/>
        <rFont val="Times New Roman"/>
        <family val="1"/>
      </rPr>
      <t xml:space="preserve">  </t>
    </r>
  </si>
  <si>
    <t>Média Mensal</t>
  </si>
  <si>
    <t>Diretoria executiva</t>
  </si>
  <si>
    <t>Conselho de administração</t>
  </si>
  <si>
    <t>Conselho fiscal</t>
  </si>
  <si>
    <t>Assistência médica</t>
  </si>
  <si>
    <t>Cesta básica</t>
  </si>
  <si>
    <t>Auxílio creche</t>
  </si>
  <si>
    <t>Auxílio transporte</t>
  </si>
  <si>
    <t>Previdência complementar patronal</t>
  </si>
  <si>
    <t>De acordo com a base contábil de continuidade operacional, as demonstrações contábeis são elaboradas com base no pressuposto de que a entidade está operando e continuará a operar em futuro previsível - NBCTA 570 AUD.</t>
  </si>
  <si>
    <r>
      <t xml:space="preserve">O Plano conta com </t>
    </r>
    <r>
      <rPr>
        <sz val="12"/>
        <color rgb="FFFF0000"/>
        <rFont val="Times New Roman"/>
        <family val="1"/>
      </rPr>
      <t>33</t>
    </r>
    <r>
      <rPr>
        <sz val="12"/>
        <color rgb="FF000000"/>
        <rFont val="Times New Roman"/>
        <family val="1"/>
      </rPr>
      <t xml:space="preserve"> participantes ativos em </t>
    </r>
    <r>
      <rPr>
        <sz val="12"/>
        <color rgb="FFFF0000"/>
        <rFont val="Times New Roman"/>
        <family val="1"/>
      </rPr>
      <t>31</t>
    </r>
    <r>
      <rPr>
        <sz val="12"/>
        <color rgb="FF000000"/>
        <rFont val="Times New Roman"/>
        <family val="1"/>
      </rPr>
      <t xml:space="preserve"> de março de 2025 e</t>
    </r>
    <r>
      <rPr>
        <sz val="12"/>
        <color rgb="FFFF0000"/>
        <rFont val="Times New Roman"/>
        <family val="1"/>
      </rPr>
      <t xml:space="preserve"> 24</t>
    </r>
    <r>
      <rPr>
        <sz val="12"/>
        <color rgb="FF000000"/>
        <rFont val="Times New Roman"/>
        <family val="1"/>
      </rPr>
      <t xml:space="preserve"> participantes em março 2024.</t>
    </r>
  </si>
  <si>
    <t>A Nuclep é uma empresa dependente, nos termos da Lei Complementar nº 101/2000, pertencente ao Orçamento Fiscal e da Seguridade Social – OFSS, as necessidades de capital de giro vem sendo supridas com os recursos do Tesouro Nacional.</t>
  </si>
  <si>
    <t xml:space="preserve">a) Produtos e Serviços - correspondem aos valores a receber de clientes pela venda de produtos e serviços no decurso normal das atividades da Companhia. As contas a receber são inicialmente reconhecidas pelo valor justo e, subsequentemente, mensuradas pelo custo menos a provisão para perdas com créditos, se necessárias. Os maiores clientes da Nuclep são a Petrobras, Eletronuclear, Marinha do Brasil e Amazul (vide Nota </t>
  </si>
  <si>
    <t>Do limite de saque disponível, 30% (trinta por cento) desses recursos estão conciliados com pagamentos a serem realizados no próximo trimestre. Os demais 70 % (setenta e sete por cento) estão vinculados da seguinte forma:
[a] Fonte Própria e Custeio Tesouro Nacional: referente aos pagamentos futuros de custeios e investimentos;
[b] Pessoal: vinculados a pagamentos de salários, previdência, sentenças e outros.</t>
  </si>
  <si>
    <t>c.c</t>
  </si>
  <si>
    <t>É importante mencionar o alto valor nos saldos de fornecedores, o qual vem ocorrendo desde o exercício de 2024, provocado em razão dos severos ajustes tanto no Limite de Movimentação e Empenho (LME) - promovido pelo Ministério da Economia, por meio da Secretaria de Orçamento e Finanças (SOF) e da Secretaria de Tesouro Nacional (STN), com cancelamento de R$ 16,5 milhões em 11 de março de 2024 - assim como o Limite de Pagamento (LP) imposto pela STN, provocando à NUCLEP  limitações nas alocações de seus recursos financeiros. O conjugado cancelamento de LME e restrição de LP motivaram a posição apresentada em dezembro de 2024 e se perdurando até o presente exercício.</t>
  </si>
  <si>
    <r>
      <rPr>
        <b/>
        <sz val="12"/>
        <rFont val="Times New Roman"/>
        <family val="1"/>
      </rPr>
      <t>*</t>
    </r>
    <r>
      <rPr>
        <sz val="10"/>
        <rFont val="Times New Roman"/>
        <family val="1"/>
        <charset val="1"/>
      </rPr>
      <t xml:space="preserve"> - 133 indivíduos desses dois últimos</t>
    </r>
  </si>
  <si>
    <r>
      <t>Diretores, funcionários, estagiários</t>
    </r>
    <r>
      <rPr>
        <sz val="12"/>
        <rFont val="Times New Roman"/>
        <family val="1"/>
      </rPr>
      <t>*</t>
    </r>
    <r>
      <rPr>
        <sz val="10"/>
        <rFont val="Times New Roman"/>
        <family val="1"/>
        <charset val="1"/>
      </rPr>
      <t xml:space="preserve"> e aprendizes</t>
    </r>
    <r>
      <rPr>
        <sz val="12"/>
        <rFont val="Times New Roman"/>
        <family val="1"/>
      </rPr>
      <t>*</t>
    </r>
  </si>
  <si>
    <t>Cobertura em R$</t>
  </si>
  <si>
    <t>Remunerações</t>
  </si>
  <si>
    <t>Benefícios Concedidos</t>
  </si>
  <si>
    <t>Valor                     (em milhares)</t>
  </si>
  <si>
    <t>Quantidade de contratados até 31/03/2025</t>
  </si>
  <si>
    <r>
      <t>A NUCLEP considera o ganho da causa provável, mas o recebimento do montante da dívida é incerto. Por esse motivo, tem-se optado por manter o registro contábil em contas de controle o valor de</t>
    </r>
    <r>
      <rPr>
        <sz val="12"/>
        <rFont val="Times New Roman"/>
        <family val="1"/>
      </rPr>
      <t xml:space="preserve"> R$ 388.343 mil</t>
    </r>
    <r>
      <rPr>
        <sz val="12"/>
        <color rgb="FF000000"/>
        <rFont val="Times New Roman"/>
        <family val="1"/>
      </rPr>
      <t>, que corresponde ao total da dívida corrigida e acumulada conforme parecer inicial do jurídico da NUCLEP 056/2020/ATG/PJG-1/NUCLEP, atualizado mensalmente nas contas de controle do SIAFI.</t>
    </r>
  </si>
  <si>
    <t xml:space="preserve">                Subvenções a realizar</t>
  </si>
  <si>
    <t xml:space="preserve">                Provisões e outras obrigações</t>
  </si>
  <si>
    <t>É ELIMINADO NO PRÓXIMO TRIMESTRE]</t>
  </si>
  <si>
    <t>VERIFICAR EM PAPEL DE TRABALHO (PARTES RELACIONADAS)</t>
  </si>
  <si>
    <t xml:space="preserve">Os estoques compreendem os produtos em processo, matéria prima, as importações em andamento, os itens de consumo (almoxarifado) e adiantamento a fornecedores. Os estoques são determinados pelo custo médio de aquisição ou de produção e não excedem os seus custos de reposição ou valores de realização, deduzidos de provisões para perdas, quando aplicável. Exceto para o contrato de industrialização das estacas torpedo para a Petrobras, a Companhia possui regime especial de industrialização de bens destinados às atividades de exploração, de desenvolvimento e de produção de petróleo, de gás natural e de outros hidrocarbonetos fluidos (Repetro-Industrialização) – REPETRO, em função dos benefícios fiscais auferidos, e é avaliado pelo método de Primeiro que entra, primeiro que sai – PEPS, em conformidade com o Instrução Normativa da Receita Federal do Brasil – n°1901/2019, arts. 2º e 24. </t>
  </si>
  <si>
    <r>
      <t xml:space="preserve">Em março 2025, constam </t>
    </r>
    <r>
      <rPr>
        <sz val="12"/>
        <rFont val="Times New Roman"/>
        <family val="1"/>
      </rPr>
      <t>150</t>
    </r>
    <r>
      <rPr>
        <sz val="12"/>
        <color rgb="FF000000"/>
        <rFont val="Times New Roman"/>
        <family val="1"/>
      </rPr>
      <t xml:space="preserve"> processos em ações cíveis e trabalhistas:</t>
    </r>
  </si>
  <si>
    <t>,</t>
  </si>
  <si>
    <t>SOMENTE FINAL DO ANO</t>
  </si>
  <si>
    <t>A Nuclebrás Equipamentos Pesados S/A – NUCLEP, doravante denominada “Nuclep” ou “Companhia”, é uma empresa pública, constituída na forma de sociedade anônima de capital fechado, sob o controle acionário da União, vinculada ao Ministério de Minas e Energia – MME, com prazo de duração indeterminado, regida pelas normas de direito privado em geral  e, especificamente, pela Lei nº 6.404, de 15 de dezembro de 1976 (Lei das Sociedades por Ações), pela Lei nº 13.303, de 30 de junho de 2016 (Estatuto Jurídico das Estatais), pelo Decreto nº 8.945, de 27 de dezembro de 2016, e por seu Estatuto Social.</t>
  </si>
  <si>
    <r>
      <t xml:space="preserve">As demonstrações financeiras foram elaboradas de acordo com </t>
    </r>
    <r>
      <rPr>
        <b/>
        <i/>
        <sz val="12"/>
        <color rgb="FF000000"/>
        <rFont val="Times New Roman"/>
        <family val="1"/>
      </rPr>
      <t>Internacional Financial Reporting Standards</t>
    </r>
    <r>
      <rPr>
        <sz val="12"/>
        <color rgb="FF000000"/>
        <rFont val="Times New Roman"/>
        <family val="1"/>
      </rPr>
      <t xml:space="preserve"> - IFRS,</t>
    </r>
    <r>
      <rPr>
        <b/>
        <sz val="12"/>
        <color rgb="FF000000"/>
        <rFont val="Times New Roman"/>
        <family val="1"/>
      </rPr>
      <t xml:space="preserve"> </t>
    </r>
    <r>
      <rPr>
        <b/>
        <i/>
        <sz val="12"/>
        <color rgb="FF000000"/>
        <rFont val="Times New Roman"/>
        <family val="1"/>
      </rPr>
      <t>International Accounting Standards Board</t>
    </r>
    <r>
      <rPr>
        <sz val="12"/>
        <color rgb="FF000000"/>
        <rFont val="Times New Roman"/>
        <family val="1"/>
      </rPr>
      <t xml:space="preserve"> - IASB, as práticas contábeis adotadas no Brasil, com base nas disposições contidas na Lei das Sociedades por Ações - Lei 6.404/76 e suas alterações, as normas e pronunciamentos emitidos pelo Conselho Federal de Contabilidade - CFC, Comitê de Pronunciamentos Contábeis - CPC e Comissão de Valores Mobiliários - CVM.</t>
    </r>
  </si>
  <si>
    <t>Na elaboração das demonstrações financeiras, a Administração utilizou julgamentos, estimativas e premissas que afetam a aplicação das práticas contábeis e os valores reportados dos ativos e passivos com reflexos nas receitas e despesas. Essas estimativas correspondem a vida útil do ativo imobilizado; análise de risco de crédito para determinação provisão para Perdas Estimadas em Créditos de Liquidação Duvidosa – PECLD, assim como avaliação dos demais riscos relacionados a outras provisões, como contingenciais pertinentes aos processos judiciais (trabalhistas, cíveis e tributárias). Embora a administração faça uso de avaliações que são revisadas periodicamente, os resultados reais poderam divergir dessas estimativas.</t>
  </si>
  <si>
    <t>Corresponde à Conta Única centralizada no Tesouro Nacional, à qual a empresa está vinculada como usuária do SIAFI (Sistema Integrado de Administração Financeira do Governo Federal), o qual são movimentados tanto recursos próprios e quanto os recursos provenientes do Tesouro Nacional, a título de subvenções.</t>
  </si>
  <si>
    <t>São créditos com Imposto sobre Produtos Industrializados (IPI); Imposto de Renda (IR); Contribuição para o Financiamento da Seguridade Social (COFINS) e Imposto sobre Circulação de Mercadorias e Serviços (ICMS), decorrentes das aquisições de matéria-prima e outros insumos, como energia elétrica, depreciação, entre outros, utilizados na produção conforme legislação vigente, corrigidos monetariamente pela taxa Selic (Sistema Especial de Liquidação e de Custódia) e passíveis de compensação após o encerramento do ano calendário.</t>
  </si>
  <si>
    <t>São obrigações com salários, provisões de férias e encargos apuradas individualmente até a data do encerramento do período pela setor de talentos humanos.</t>
  </si>
  <si>
    <t>No primeiro trimestre de 2025 e dezembro de 2024 os saldos e baixas (realização) da reserva de reavaliação estão representados conforme quadro abaixo:</t>
  </si>
  <si>
    <t>Declaramos, na qualidade de diretores da Nuclebras Equipamentos Pesados S.A. - NUCLEP, sociedade por ações com sede na cidade do Rio de Janeiro, Estado do Rio de Janeiro, na Avenida das Américas, nº 3.500 – Salas 613 e 614, Bloco 01, Barra da Tijuca – Rio de Janeiro – RJ – Cep: 22.640-102, inscrita no CNPJ sob o nº 42.515.882/0001- 78, que revimos, discutimos e concordamos com o conjunto das demonstrações financeiras e com o relatório dos auditores independentes da CONAUD AUDITORES INDEPENDENTES S/S acerca das demonstrações financeiras do exercício findo em 31 de março de 2025.</t>
  </si>
  <si>
    <t>Receitas industriais</t>
  </si>
  <si>
    <t>Recursos orçamentários do Tesouro Nacional</t>
  </si>
  <si>
    <t>(-) Impostos sobre vendas de produtos e serviços</t>
  </si>
  <si>
    <t>(-) Custos dos produtos vendidos</t>
  </si>
  <si>
    <t>(-) Despesas operacionais administrativas e comerciais</t>
  </si>
  <si>
    <t>(-) Despesas operacionais tributárias</t>
  </si>
  <si>
    <t>(-) Resultado financeiro</t>
  </si>
  <si>
    <t>Despesa financeira</t>
  </si>
  <si>
    <t>Receita financeira</t>
  </si>
  <si>
    <t>(-) IR sobre lucro líquido</t>
  </si>
  <si>
    <t>(-) CS sobre lucro líquido</t>
  </si>
  <si>
    <t>Despesas administrativas - pessoal</t>
  </si>
  <si>
    <t>Despesas administrativas - indenizações e encargos</t>
  </si>
  <si>
    <t>Despesas administrativas - previdência privada</t>
  </si>
  <si>
    <t>Despesas administrativas - PCLD</t>
  </si>
  <si>
    <t>Despesas administrativas - serviços e materiais</t>
  </si>
  <si>
    <t>Despesas administrativas - depreciação</t>
  </si>
  <si>
    <t>Despesas administrativas - amortização</t>
  </si>
  <si>
    <t>Despesas administrativas - impaiment</t>
  </si>
  <si>
    <t>Despesas administrativas - provisões cíveis</t>
  </si>
  <si>
    <t>Despesas administrativas - provisões trabalhistas</t>
  </si>
  <si>
    <t>Despesas administrativas - demais despesas</t>
  </si>
  <si>
    <t>(-) Despesas administrativas - demais (reversões)</t>
  </si>
  <si>
    <t xml:space="preserve">                 Ganhos por desincorporações de passivos</t>
  </si>
  <si>
    <t xml:space="preserve">                 Estoques de processo - depreciação</t>
  </si>
  <si>
    <t xml:space="preserve">   Aumento (Redução) nas disponibilidades</t>
  </si>
  <si>
    <t xml:space="preserve">      Saldo inicial do disponível no período</t>
  </si>
  <si>
    <t xml:space="preserve">      Saldo  final do disponível no período</t>
  </si>
  <si>
    <t>(-) Recursos orçamentários do Tesouro Nacional</t>
  </si>
  <si>
    <t>Pessoal (remuneração e encargos)</t>
  </si>
  <si>
    <t>Despesas administrativas - encargos</t>
  </si>
  <si>
    <t>Governo (federal, estadual e municipal)</t>
  </si>
  <si>
    <t>(-) Outras despesas  e receitas operacionais</t>
  </si>
  <si>
    <t>Outras receitas: venda de ativos não circulantes/baixa de passivos</t>
  </si>
  <si>
    <t>(-) Outras despesas: baixa de ativos não circulantes</t>
  </si>
  <si>
    <t>RESULTADO ANTES DAS DESPESAS E RECEITAS  FINANCEIRAS</t>
  </si>
  <si>
    <t>RESULTADO ANTES DO IR/CSSL</t>
  </si>
  <si>
    <t xml:space="preserve">Com base na premissa de que um ativo deve ser reconhecido no balanço patrimonial quando for provável que benefícios econômicos futuros dele provenientes fluirão para a empresa, de modo que seu custo ou valor possa ser mensurado com confiabilidade, procedeu-se ao reconhecimento contábil do terreno R$ 1.560 como ativo da empresa em 2012. Em seguida, a NUCLEP ajustou o valor contábil do imóvel com base em laudo de avaliações, que resultou num ajuste no valor de R$ 159.864, com a finalidade de corrigir um erro tendo em vista os valores, que tornavam as demonstrações financeiras deficientes em termos de relevância por ter um ativo registrado na contabilidade com o valor menor que o valor justo. Cabe frisar que juridicamente a titularidade deste terreno onde se encontram as instalações da NUCLEP está em nome das Indústrias Nucleares do Brasil – INB, razão pela qual o registro contábil deste imóvel consta como bem patrimonial nas duas empresas, até que os órgãos superiores decidam como solucionar esse imbróglio. </t>
  </si>
  <si>
    <t>Após o registro do terreno nas demonstrações financeiras da Companhia, no valor de R$1.560, com base no laudo de avaliação o valor do imóvel era de R$161.424.  O ajuste efetuado foi no montante de  R$ 159.864, com o intuito de dar maior transparência e confiabilidade às informações contábeis, melhorando a situação patrimonial e consequentemente os índices econômico-financeiros, fato esse já mencionado no acórdão 805/2001 do TCU, que inclusive menciona os efeitos negativos para a NUCLEP, que possuia informações deficientes em termos de relevância por ter um ativo registrado contabilmente com o valor menor que o valor justo.</t>
  </si>
  <si>
    <r>
      <t>A NUCLEP considera o ganho da causa provável, mas o recebimento do montante da dívida é incerto. Por esse motivo, tem-se optado por manter o registro contábil em contas de controle o valor de</t>
    </r>
    <r>
      <rPr>
        <sz val="12"/>
        <rFont val="Times New Roman"/>
        <family val="1"/>
      </rPr>
      <t xml:space="preserve"> R$ 388.343</t>
    </r>
    <r>
      <rPr>
        <sz val="12"/>
        <color rgb="FF000000"/>
        <rFont val="Times New Roman"/>
        <family val="1"/>
      </rPr>
      <t>, que corresponde ao total da dívida corrigida e acumulada conforme parecer inicial do jurídico da NUCLEP 056/2020/ATG/PJG-1/NUCLEP, atualizado mensalmente nas contas de controle do SIAFI.</t>
    </r>
  </si>
  <si>
    <t>Despesas Financeiras</t>
  </si>
  <si>
    <t>Receitas financeiras</t>
  </si>
  <si>
    <t xml:space="preserve">ATIVO </t>
  </si>
  <si>
    <t>BALANÇO PATRIMONIAL</t>
  </si>
  <si>
    <t>LUCROS/PREJUÍZOS ACUMULADOS</t>
  </si>
  <si>
    <t>Realização da reserva de reavaliação</t>
  </si>
  <si>
    <t>Previdência privada - NUCLEOS</t>
  </si>
  <si>
    <t>Previdência Privada - NUCLEOS</t>
  </si>
  <si>
    <t>Previdência Privada -  NUCLEOS</t>
  </si>
  <si>
    <t>Previdência privada -  NUCLEOS</t>
  </si>
  <si>
    <t>Provisões - processos judiciais</t>
  </si>
  <si>
    <t>Receita de subvenção a  realizar</t>
  </si>
  <si>
    <t>Corresponde à Conta Única centralizada no Tesouro Nacional, à qual a empresa está vinculada como usuária do SIAFI (Sistema Integrado de Administração Financeira do Governo Federal), o qual são movimentados tanto recursos próprios quanto os recursos provenientes do Tesouro Nacional, a título de subvenções.</t>
  </si>
  <si>
    <t>O contas a receber tem a seguinte composição:</t>
  </si>
  <si>
    <t>Produtos em processo</t>
  </si>
  <si>
    <t>Matéria-prima</t>
  </si>
  <si>
    <t>IR e CSLL</t>
  </si>
  <si>
    <t>PLANO MÉDICO (COPARTICIPAÇÃO DOS EMPREGADOS )</t>
  </si>
  <si>
    <t>Correspondem aos depósitos judiciais relacionados a diversos processos trabalhistas. Por não concordar com as decisões proferidas pela justiça, a NUCLEP se vê na obrigação de recorrer diante da expectativa e da possibilidade de reverter tais decisões, enquanto couber recurso.</t>
  </si>
  <si>
    <r>
      <t>Os Ativos estão demonstrados ao custo de aquisição ou custo de construção, que representa os custos para colocar o ativo em condições de operação, acrescidos das reavaliações do ativo industrial ocorrida em 2000, deduzido da depreciação acumulada calculada pelo método linear, com base na vida útil estimada e das perdas por redução ao valor recuperável de ativos (</t>
    </r>
    <r>
      <rPr>
        <b/>
        <i/>
        <sz val="12"/>
        <color rgb="FF000000"/>
        <rFont val="Times New Roman"/>
        <family val="1"/>
      </rPr>
      <t>Impairment Test</t>
    </r>
    <r>
      <rPr>
        <sz val="12"/>
        <color rgb="FF000000"/>
        <rFont val="Times New Roman"/>
        <family val="1"/>
      </rPr>
      <t xml:space="preserve">).
</t>
    </r>
  </si>
  <si>
    <t>Bens ativáveis</t>
  </si>
  <si>
    <t>Entre 24 de novembro e 03 de dezembro de 2021, foram realizados os trabalhos de campo para o levantamento topográfico do parque industrial da NUCLEP pelo 5º Centro de Geoinformação do Exército Brasileiro. Assim, com as plantas e relatório técnicos prontos, foi dado o início ao processo de regularização junto à prefeitura e cartório de imóveis de Itaguaí. Em dezembro de 2023, todo o levantamento topográfico do parque industrial da NUCLEP, realizado em 2021, já se encontrava sob análise do cartório de Itaguaí.</t>
  </si>
  <si>
    <t>Sistema de integrado corporativo – ERP - BENNER</t>
  </si>
  <si>
    <t>Outros ativos intangíveis</t>
  </si>
  <si>
    <t>Amortização acumulada dos ativos intangíveis</t>
  </si>
  <si>
    <t>São obrigações com salários, provisões de férias e encargos apuradas individualmente até a data do encerramento do período pela Setor de Talentos Humanos.</t>
  </si>
  <si>
    <t>Em dezembro de 2022 foi aprovado pelo Conselho de Administração na 164ª RCA o Plano de Equacionamento do Déficit do Nucleos, que será pago em 286 parcelas mensais, considerando 13 parcelas anuais e cujos pagamentos se iniciaram em janeiro de 2024 e irão findar em outubro de 2047.</t>
  </si>
  <si>
    <t>Dentre as ações de reclamações trabalhistas, constam o processo movido pelo Sindicato dos Engenheiros no Estado do Rio de Janeiro - SENGE, segundo informações do jurídico o processo encontra-se em fase de análise pelo perito judicial.</t>
  </si>
  <si>
    <t xml:space="preserve">O capital social subscrito e integralizado é de R$ 63.114 (sessenta e três milhões, cento e quatorze mil reais), dividido em ações ordinárias nominativas no valor de R$ 1,00 (um real) cada uma. </t>
  </si>
  <si>
    <t>Na 47ª Assembleia Geral Ordinária foi autorizado a proceder ao aumento do Capital Social com os recursos contabilizados na rubrica de AFAC no Patrimônio Líquido, de forma a atender o disposto no art. 2º do Decreto n.º 2.673/1998, referente às aquisições de ativo imobilizado relativas ao exercício de 2022, para a manutenção das atividades fabris. Apesar de terem sido consideradas como aumento de capital, as aquisições não correspondem a investimentos que resultem em aumento da capacidade operacional e produtiva da Companhia. Ainda não foi efetuada a alteração do Estatuto Social.</t>
  </si>
  <si>
    <t>A Nuclep possui como reservas de lucros a reserva para incentivos fiscais - decorrente das subvenções recebidas pelo Tesouro Nacional - e a reserva legal, ambas constiuídas no exercício de 2024 e cujos saldos estão abaixo descriminados:</t>
  </si>
  <si>
    <t>Reserva decorrente da realização dos recursos que foram recebidos pelo Tesouro Nacional a título de subvenções (art. 195-A da Lei 6.404/1976), que foram objeto de ajustes por retificação de erros conforme parecer técnico da Fundação Instituto de Pesquisas Contábeis, Atuariais e Financeiras (FIPECAFI), com base nos registros das subvenções a receber referentes aos pagamentos junto ao Nucleos e do registro da probabilidade de perdas referentes aos processos judiciais classificados como prováveis, como também pela realização das subvenções para investimentos. A constituição da reserva ainda será objeto de deliberação em Assembleia de Acionistas.</t>
  </si>
  <si>
    <t xml:space="preserve">Constituída nos termos do artigo 193 da Lei nº 6.404/1976, referente ao percentual de 5% dos lucros acumulados, até o limite de 20% do capital social. </t>
  </si>
  <si>
    <t>A receita bruta de vendas de produtos e serviços engloba os valores relativos às contraprestações pelo cumprimento das obrigações de desempenho acordadas nos instrumentos contratuais firmados pela empresa com a Eletronuclear, tais como a locação de área externa para armazenamento de equipamentos de Angra 3 e a fabricação e fornecimento de condensadores para usina nuclear de Angra 3. Além disso, inclui acordos com a Frank's Internacional Brasil LTDA para a industrialização por soldagem e armazenamento de tubos e para a utilização de infraestrutura fabril; com a Amazul para o fornecimento de peças forjadas do Bloco 40 do LABGENE; com a Incomisa para industrialização por corte, recorte, furação e gravação de chapas pertencentes ao projeto 220397 Torre Boel; com a INB por serviços de manutenção para a Autoclave Basculante RBI11BH701; com a CTMSP para fabricação de Geradores de Vapor; com a Superpesa para serviço de apoio, incluindo disponibilização do Terminal de Uso Privativo – TUP; com a EBSE para industrialização parcial das Estacas de Sucção; e a Petrobras para industrialização de Estacas Topedos.</t>
  </si>
  <si>
    <t>Aplica-se ao contrato  com a Petróleo Brasileiro S.A., referente ao fornecimento de estacas torpedo. É um regime especial brasileiro que visa incentivar a industrialização de bens destinados à exploração e produção de petróleo e gás natural. Criado pelo governo federal, esse regime permite a importação temporária de máquinas, equipamentos, componentes e outros insumos necessários para a produção e manutenção de bens utilizados na indústria de petróleo e gás, com suspensão ou redução de impostos. Os benefícios são a suspensão ou isenção de tributos como imposto de importação – II, IPI, PIS/PASEP, COFINS e adicional ao frete para renovação da Marinha Mercante – AFRMM; diferimento ou isenção do imposto sobre circulação de mercadorias e serviços - ICMS.</t>
  </si>
  <si>
    <t xml:space="preserve">Em virtude da falta de investimentos na área nuclear e atuando em um mercado bastante restrito, a Companhia foi obrigada a reorientar suas atividades comerciais para outros segmentos. Com isso, as necessidades de capital de giro vêm sendo supridas com recursos da União, em forma de subvenções. </t>
  </si>
  <si>
    <t>O NUCLEOS – Instituto de Seguridade Social é uma entidade fechada de previdência complementar sem fins lucrativos, com autonomia administrativa e financeira por prazo indeterminado, criada em 1979, com sede na cidade do Rio de Janeiro e com funcionamento autorizado por meio da Portaria nº 1.514, de 02 de maio de 1979 do antigo Ministério da Previdência e Assistência Social (MPAS), que aprovou seu estatuto. Por se tratar de um entidade cujo objeto é gerir fundos previdênciarios, o Nucleos é regida pelas Leis Complementares n° 108/2001 e 109/2001.</t>
  </si>
  <si>
    <t>A Entidade tem por objetivo instituir e administrar planos de benefícios de caráter previdenciário, complementares aos da Previdência Social, acessíveis aos empregados e respectivos beneficiários vinculados aos seus patrocinadores: (i) Nuclebrás Equipamentos Pesados S.A. - NUCLEP; (ii) Eletronuclear S.A.; (iii) Indústrias Nucleares do Brasil S.A. – INB; e também aos empregados do próprio Nucleos.</t>
  </si>
  <si>
    <t>As fontes de custeio dos planos de benefícios são as contribuições dos participantes ativos e assistidos e das patrocinadoras. As referidas contribuições são destinadas à formação das provisões, reservas e fundos necessários à garantia do pagamento dos benefícios contratados e da manutenção da estrutura administrativa da referida entidade.</t>
  </si>
  <si>
    <t>Os seguintes benefícios são oferecidos aos seus participantes e beneficiários a título de suplementação (benefício complementar ao da Previdência Social) na forma do Regulamento: (i) aposentadoria por tempo de contribuição; (ii) aposentadoria por tempo de contribuição antecipada; (iii) aposentadoria especial; (iv) aposentadoria especial antecipada; (v) aposentadoria por idade; (vi) aposentadoria por invalidez; (vii) pensão por morte; e (viii) auxílio-doença.</t>
  </si>
  <si>
    <t>Os benefícios oferecidos aos participantes e beneficiários do plano são: (i) aposentadoria normal, (ii) aposentadoria por invalidez e (iii) pensão por morte. A concessão desses benefícios dependerá do preenchimento de requisitos de elegibilidade e demais condições estabelecidas no regulamento, que também fixa regras para a opção pelos institutos obrigatórios previstos na legislação, em caso de cessação do vínculo com a patrocinadora.</t>
  </si>
  <si>
    <t>Processos trabalhistas</t>
  </si>
  <si>
    <t>Em 16 de dezembro de 1997, a NUCLEP firmou o contrato C-291/AB-001 para arrendamento do Terminal Marítimo e parte das instalações de sua propriedade com a empresa TMC - Terminal Multimodal de Coroa Grande SPE S/A para administração, exploração e operação do Terminal Portuário. Durante a evolução do contrato alguns investimentos que estavam previstos não foram realizados e a TMC deixou de honrar parte dos compromissos financeiros contratuais.</t>
  </si>
  <si>
    <t>Na tentativa de não denunciar o contrato a NUCLEP pactuou 5 (cinco) aditamentos com o objetivo de viabilizar o saldo a receber e, consequentemente, refazer o plano de recebimento, incluindo as novas obrigações assumidas pelo arrendatário. Entretanto, a TMC continuou inadimplente levando a NUCLEP, em 29 de setembro de 2004, a ingressar em juízo com Ação de Cobrança cumulada com pedidos de rescisão contratual e reintegração de posse do terminal portuário.</t>
  </si>
  <si>
    <t>Finalmente, em 27 de março de 2009, após o trânsito em julgado da sentença proferida no juízo arbitral, a NUCLEP ganhou a reintegração de posse do terminal e da área retro portuária, mas, quanto à dívida, a empresa teve que ingressar com ação de Execução de Títulos Extrajudiciais distribuída na 36ª Vara Cível da Comarca de Capital – RJ, que ainda aguarda decisão.</t>
  </si>
  <si>
    <t xml:space="preserve">A Companhia possui uma política de transações com partes relacionadas, revisada e aprovada anualmente pelo Conselho de Administração, conforme disposto no Estatuto Social da Nuclep.
Esta política orienta a Nuclep na celebração de transações com partes relacionadas de modo a assegurar que as decisões sejam direcionadas sempre com vistas ao interesse da Companhia, dos acionistas e da sociedade, alinhados à transparência, aos processos, às exigências legais e às melhores práticas de governança corporativa. Os Princípios da Política de Transações com Partes Relacionadas da Nuclep têm como alicerce os requisitos de competividade, conformidade, transparência, equidade.
São partes relacionadas da Nuclebras Equipamentos Pesados S.A. – NUCLEP:
</t>
  </si>
  <si>
    <t>Em observância à Comissão Interministerial de Governança Corporativa e de Administração de Participações Societárias da União – CGPAR, nº 30, de 04 de agosto de 2022, demonstramos a remuneração dos membros da Diretoria Executiva, Conselhos de Administração e Fiscal, dos Comitês de Auditoria e de Pessoas, Elegibilidade, Sucessão e Remuneração e a dos empregados e os benefícios concedidos, conforme quadro abaixo:</t>
  </si>
  <si>
    <t>COMPOSIÇÃO DA AFAC</t>
  </si>
  <si>
    <t xml:space="preserve">      geradas pelas atividades operacionais:</t>
  </si>
  <si>
    <t xml:space="preserve">Valor                    </t>
  </si>
  <si>
    <t xml:space="preserve">Os estoques compreendem os produtos em processo, matéria-prima, as importações em andamento, os itens de consumo (almoxarifado) e adiantamento a fornecedores. Os estoques são determinados pelo custo médio de aquisição ou de produção e não excedem os seus custos de reposição ou valores de realização, deduzidos de provisões para perdas, quando aplicável. Exceto para o contrato de industrialização das estacas torpedo para a Petrobras, a Companhia possui regime especial de industrialização de bens destinados às atividades de exploração, de desenvolvimento e de produção de petróleo, de gás natural e de outros hidrocarbonetos fluidos (Repetro-Industrialização) – REPETRO, em função dos benefícios fiscais auferidos, e é avaliado pelo método Primeiro que entra, primeiro que sai – PEPS, em conformidade com a Instrução Normativa da Receita Federal do Brasil – n°1901/2019, arts. 2º e 24. </t>
  </si>
  <si>
    <t>Em 13/05/2024, a Industrias Nucleares do Brasil S.A. - INB ajuizou a Ação de Arbitramento de Aluguel nº 50314227-18.2024.4.02.5101 em face da NUCLEP, com pretensão de cobrar aluguel pela ocupação do parque industrial desta Companhia, instalado em parte das áreas que sustenta serem de sua propriedade. A NUCLEP contestou a ação, sustentando a inviabilidade do seu prosseguimento, devendo prevalecer os termos do Protocolo de Intenções celebrado entre as partes em abril de 2004.</t>
  </si>
  <si>
    <t>Em 06/03/2025, foi deferido, pelo juízo da 2ª Vara Federal da Seção Judiciária do Rio de Janeiro, o pedido de suspensão do processo por 180 (cento e oitenta) dias, visando as tratativas para eventual acordo.</t>
  </si>
  <si>
    <t xml:space="preserve">Em 21/03/2025, a NUCLEP enviou ao Secretário Executivo do Ministério de Minas e Energia, a CE nº 015/2025, por meio da qual, considerando que tanto a NUCLEP quanto a INB são empresas estatais vinculadas ao referido Órgão, que tem exercido papel central na mediação da controvérsia, solicitou que seja avaliada a possibilidade de encaminhamento ao Tribunal de Contas da União, para análise prévia da SecexConsenso, a fim de buscar solução consensual efetiva para a resolução do litígio. </t>
  </si>
  <si>
    <t>Contas a  receber</t>
  </si>
  <si>
    <t>Contas a  Receber</t>
  </si>
  <si>
    <t xml:space="preserve"> - De clientes (a)</t>
  </si>
  <si>
    <t xml:space="preserve">           Produtos</t>
  </si>
  <si>
    <t xml:space="preserve">           Serviços</t>
  </si>
  <si>
    <t xml:space="preserve">           Subvenções a receber</t>
  </si>
  <si>
    <t xml:space="preserve">          (-) Perdas estimadas em créditos de liquidação duvidosa (b)</t>
  </si>
  <si>
    <t xml:space="preserve"> - Secretaria do Tesouro Nacional ( c )</t>
  </si>
  <si>
    <t xml:space="preserve"> - Secretaria do Tesouro Nacional ( a )</t>
  </si>
  <si>
    <t xml:space="preserve">           NUCLEOS – Instituto de Seguridade Social</t>
  </si>
  <si>
    <t xml:space="preserve">           Sentenças judiciais a receber</t>
  </si>
  <si>
    <t xml:space="preserve"> - Dos empregados (b)</t>
  </si>
  <si>
    <t xml:space="preserve">          Plano médico – coparticipação dos empregados      </t>
  </si>
  <si>
    <t xml:space="preserve">SUB - TOTAL                     </t>
  </si>
  <si>
    <t>+1</t>
  </si>
  <si>
    <t>-1</t>
  </si>
  <si>
    <t>Outras receitas por desincorporação de passivo</t>
  </si>
  <si>
    <t>Na elaboração das demonstrações financeiras, a Administração utilizou julgamentos, estimativas e premissas que afetam a aplicação das práticas contábeis e os valores reportados dos ativos e passivos com reflexos nas receitas e despesas. Essas estimativas correspondem a vida útil do ativo imobilizado; análise de risco de crédito para determinação da provisão para Perdas Estimadas em Créditos de Liquidação Duvidosa – PECLD, assim como avaliação dos demais riscos relacionados a outras provisões, como contingenciais pertinentes aos processos judiciais (trabalhistas e cíveis). Embora a administração faça uso de avaliações que são revisadas periodicamente, os resultados reais poderão divergir dessas estimativas.</t>
  </si>
  <si>
    <t xml:space="preserve">                 Ajustes de Exercícios Anteriores</t>
  </si>
  <si>
    <t>+</t>
  </si>
  <si>
    <t xml:space="preserve"> - Dos empregados (d)</t>
  </si>
  <si>
    <t>113812600 (- ) Coparticipação dos empregados ( linha abaixo)</t>
  </si>
  <si>
    <t>confirmar</t>
  </si>
  <si>
    <t>abr</t>
  </si>
  <si>
    <t>mai</t>
  </si>
  <si>
    <t>jun</t>
  </si>
  <si>
    <t>diferença verificada em jun/2024</t>
  </si>
  <si>
    <t xml:space="preserve">  INB</t>
  </si>
  <si>
    <t xml:space="preserve">  EBSE</t>
  </si>
  <si>
    <t>Eletronuclear S.A.</t>
  </si>
  <si>
    <t>Papel de Trabalho - (Subvenção para Investimentos)</t>
  </si>
  <si>
    <t>Cabe destacar que a Companhia está adotando medidas de saneamento de passivos, com priorização de negociações e reestruturação de prazos junto aos principais fornecedores. Essa iniciativa visa mitigar os efeitos financeiros decorrentes dos atrasos, além de preservar a continuidade operacional.</t>
  </si>
  <si>
    <t>TRIBUTOS POR ENTES    (PASSIVO NÃO CIRCULANTE)</t>
  </si>
  <si>
    <t>TRIBUTOS POR ENTES    (PASSIVO CIRCULANTE)</t>
  </si>
  <si>
    <t>CIRC</t>
  </si>
  <si>
    <t>Ñ CIRC</t>
  </si>
  <si>
    <t>Comitê de auditoria</t>
  </si>
  <si>
    <t xml:space="preserve">Comitês de Pessoas, Elegibilidade, </t>
  </si>
  <si>
    <t>Sucessão e Remuneração</t>
  </si>
  <si>
    <t>termo de equacionamento</t>
  </si>
  <si>
    <t>d) Plano de Saúde de Autogestão (coparticipação dos empregados) - refere-se os valores a receber em até 12 meses dos empregados ativos da empresa. Os demais valores a receber estão demonstrados no ativo não circulante, com expectativa superior a 12 meses.</t>
  </si>
  <si>
    <t>O inventário físico dos estoques foi realizado pela empresa Mastercode Service Consultoria Patrimonias Ltda, contratada pela Nuclep em dezembro de 2024.</t>
  </si>
  <si>
    <t>20.2  Plano de equacionamento de déficit - PED</t>
  </si>
  <si>
    <t>Classificados no ativo não circulante</t>
  </si>
  <si>
    <t>TOTAL DO ATIVO NÃO CIRCULANTE</t>
  </si>
  <si>
    <t>TOTAL GERAL (CIRCULANTE E NÃO CIRCULANTE)</t>
  </si>
  <si>
    <t>Em 15 de abril de 2025, foi encaminhado o Ofício CF-001/2025 ao Secretário-Executivo do Ministério de Minas e Energia, Sr. Arthur Cerqueira, tratando da regularização do terreno onde estão situadas as instalações industriais da empresa pública Nuclebrás Equipamentos Pesados S.A. – NUCLEP.</t>
  </si>
  <si>
    <t>20.1  Termo de Transação</t>
  </si>
  <si>
    <t xml:space="preserve">a) Produtos e Serviços - correspondem aos valores a receber de clientes pela venda de produtos e serviços no decurso normal das atividades da Companhia. As contas a receber são inicialmente reconhecidas pelo valor justo e, subsequentemente, mensuradas pelo custo menos a provisão para perdas com créditos, se necessárias. Os maiores clientes da Nuclep são a Petrobras, Eletronuclear, Marinha do Brasil e Amazul (vide Nota 33). </t>
  </si>
  <si>
    <t>Empregados ativos</t>
  </si>
  <si>
    <t>Empregados inativos - amortizando</t>
  </si>
  <si>
    <t>Empregados inativos - com processo judicializado</t>
  </si>
  <si>
    <t>Empregados inativos - em tratativas</t>
  </si>
  <si>
    <t xml:space="preserve">Empregados inativos - negociando parcelamento </t>
  </si>
  <si>
    <t>Empregados ativos - classificados no ativo circulante</t>
  </si>
  <si>
    <t>36 - CONTINUIDADE OPERACIONAL DA COMPANHIA</t>
  </si>
  <si>
    <t>Em razão da adoção de novos parcelamentos de obrigações tributárias, foram atualizados os critérios utilizados para a classificação contábil entre passivo circulante e não circulante.</t>
  </si>
  <si>
    <t>pegar com Alessandra</t>
  </si>
  <si>
    <t>jan</t>
  </si>
  <si>
    <t>fev</t>
  </si>
  <si>
    <t>mar</t>
  </si>
  <si>
    <t>jul</t>
  </si>
  <si>
    <t>ago</t>
  </si>
  <si>
    <t>set</t>
  </si>
  <si>
    <t>DIFERENÇA ENTRE CONTA CONTÁBIL 3.1.2.5.1.01.00 (BALANCETE DO TRIMESTRE) E TERMO DE EQUACIONAMENTO (VALORES ACIMA MÊS A MÊS) PEGO NOS ARQUIVOS DO NÚCLEOS.</t>
  </si>
  <si>
    <t>CONTA CONTÁBIL 3.1.2.5.1.01.00</t>
  </si>
  <si>
    <t>DIFERENÇA</t>
  </si>
  <si>
    <t>PED 2021 + PED 2007</t>
  </si>
  <si>
    <t>ajuste rosângela</t>
  </si>
  <si>
    <t>O Plano conta com 36 participantes ativos em 30 de setembro de 2025 e 28 participantes em setembro 2024.</t>
  </si>
  <si>
    <t>Informações: Karen</t>
  </si>
  <si>
    <t>Acertar no BP (mil)</t>
  </si>
  <si>
    <r>
      <t>A Companhia possui obrigações junto a seus fornecedores, decorrentes tanto do ciclo operacional normal quanto de atrasos de pagamento registrados em exercícios anteriores. Com o objetivo de assegurar a devida transparência, apresentamos a seguir o detalhamento da posição de fornecedores em aberto na data-base de 30 de setembro de 2025, evidenciando o</t>
    </r>
    <r>
      <rPr>
        <i/>
        <sz val="12"/>
        <rFont val="Times New Roman"/>
        <family val="1"/>
      </rPr>
      <t xml:space="preserve"> aging</t>
    </r>
    <r>
      <rPr>
        <sz val="12"/>
        <color rgb="FF000000"/>
        <rFont val="Times New Roman"/>
        <family val="1"/>
      </rPr>
      <t xml:space="preserve"> por faixa de vencimento: </t>
    </r>
  </si>
  <si>
    <t>Em 30 de setembro de 2025, a Companhia apresenta obrigações tributárias classificadas em duas naturezas principais: tributos parcelados e tributos em atraso e não parcelados.
Os tributos parcelados compreendem débitos junto à Procuradoria-Geral da Fazenda Nacional – PGFN, bem como outros tributos federais e municipais, objeto de programas de parcelamento fiscal, cujos pagamentos vêm sendo regularmente cumpridos conforme os cronogramas estabelecidos.</t>
  </si>
  <si>
    <t>Dos valores a receber dos empregados ativos da empresa, $3.120 estão registrados no ativo circulante em 30 de setembro de 2025.</t>
  </si>
  <si>
    <t>Benefícios - pegar com Alessandra</t>
  </si>
  <si>
    <t xml:space="preserve">Em setembro de 2025, a Companhia registrou o ingresso do montante total de R$ 61.507, composto por: (i) R$ 59.652 relativos ao ressarcimento de despesas e custos incorridos, decorrentes do êxito obtido na disputa arbitral movida contra a empresa FLSmidth S.A. (antiga Thyssenkrupp Industrial Solutions Ltda.), no âmbito do Procedimento CAM-CCBC nº 59/2020, referente ao Contrato de Fornecimento e Fabricação de Estrutura Metálica e Componentes Mecânicos para a Empilhadeira e Recuperadora ER-1A – Contrato nº 45005614, no qual o Tribunal Arbitral reconheceu a responsabilidade da FLSmidth pela resolução contratual; (ii) R$ 1.339 provenientes da recuperação de depósitos judiciais; e (iii) R$ 516 correspondentes à devolução da caução prestada em garantia da execução do Contrato nº GAC.T/CT-017/10. </t>
  </si>
  <si>
    <t>Até o encerramento do terceiro trimestre de 2025, não houve registro de novos encaminhamentos ou atualizações sobre o tema.</t>
  </si>
  <si>
    <t>A Companhia mantém provisões em função de processos trabalhistas e cíveis, objetivando demonstrar prováveis perdas nas causas judiciais que poderão ser decididos contra a Nuclep. Foram constituídas com base nos relatórios emitidos por consultores jurídicos da internos e de acordo com as normas emitidas pelo Comitê de Pronunciamentos Contábeis – CPC nº 25, em conjunto com o Conselho Federal de Contabilidade – CFC e Comissão de Valores Mobiliários – CVM. As provisões consideradas prováveis, depois de transitadas e julgadas em juízo serão pagas com recursos oriundos do Tesouro Nacional (Portaria 01/2010 da Secretaria de Orçamento Federal – SOF – anexo 11) e são registradas tanto no ativo quanto no passivo, apenas quando as sentenças judiciais estão aptas para pagamento são reconhecidas no resultado, em observância à norma de subvenção e ao regime de competência (vide Nota 9).
Os saldos dessas provisões são os seguintes:</t>
  </si>
  <si>
    <t>Os passivos contingentes, correspondem às possíveis perdas decorrentes de processos judiciais em andamento, conforme demonstrado a seguir:</t>
  </si>
  <si>
    <t>Após análise das conciliações entre a contabilidade feita de acordo com a Lei 6.404/76 e aquela promovida conforme a Lei 4.320/64, a NUCLEP apresenta o Balanço Patrimonial emitido pelo SIAFI WEB para evidenciação da ocorrência de divergência entre a lei societária e a pública.</t>
  </si>
  <si>
    <t>Neste trimestre foram baixados os estoques, no montante de 36.508, decorrentes do êxito obtido na disputa arbitral movida contra a empresa FLSmidth S.A. (antiga Thyssenkrupp Industrial Solutions Ltda.)</t>
  </si>
  <si>
    <t xml:space="preserve">Custos dos Produtos Vendidos referem-se ao total dos custos diretos relacionados à produção dos bens e serviços vendidos composto de matérias-primas e insumos, salários, encargos sociais e outros benefícios diretos, custos indiretos de fabricação (água, luz, gás, depreciação de maquinários e outros custos operacionais que não podem ser diretamente atribuídos a um produto específico). Os custos são reconhecidos na demonstração do resultado no período em que as receitas correspondentes são realizadas. 
A política contábil adotada para a determinação dos custos segue as diretrizes do CPC 16 - Estoques e IFRS 2 - Inventários. </t>
  </si>
  <si>
    <t>DESPESAS ADMINISTRATIVAS E COMERCIAIS</t>
  </si>
  <si>
    <t>31.1 - CONTRATO DE ARRENDAMENTO</t>
  </si>
  <si>
    <t>32 - PREJUÍZOS FISCAIS E BASES NEGATIVAS DE IMPOSTO DE RENDA E CONTRIBUIÇÃO SOCIAL</t>
  </si>
  <si>
    <t>33 - PRINCIPAIS TRANSAÇÕES COM PARTES RELACIONADAS</t>
  </si>
  <si>
    <t>34 - REMUNERAÇÃO E BENECÍFIOS CONCEDIDOS</t>
  </si>
  <si>
    <t>35 - ANÁLISE ENTRE CONTABILIDADE DE ACORDO COM A LEI 6.404/76 E A LEI 4.320/64</t>
  </si>
  <si>
    <r>
      <t xml:space="preserve">Neste trimestre foram reconhecidas todas as obrigações junto aos fornecedores, incluindo as obrigações futuras relativas aos contratos assinados até 2030. As obrigações futuras tem como contrapartida a conta no ativo circulante e não circulante de "despesas a realizar" (vide Nota </t>
    </r>
    <r>
      <rPr>
        <sz val="12"/>
        <color rgb="FFFF0000"/>
        <rFont val="Times New Roman"/>
        <family val="1"/>
      </rPr>
      <t>09</t>
    </r>
    <r>
      <rPr>
        <sz val="12"/>
        <rFont val="Times New Roman"/>
        <family val="1"/>
      </rPr>
      <t>).</t>
    </r>
  </si>
  <si>
    <t xml:space="preserve">Processos cíveis </t>
  </si>
  <si>
    <t>DEMONSTRAÇÕES FINANCEIRAS EM 31 DE DEZEMBRO DE 2025</t>
  </si>
  <si>
    <t>Dezembro 2025</t>
  </si>
  <si>
    <t>EM 31 DE DEZEMBRO DE 2025</t>
  </si>
  <si>
    <t>Dezembro 2024</t>
  </si>
  <si>
    <t>out</t>
  </si>
  <si>
    <t>nov</t>
  </si>
  <si>
    <t>dezembro 2025</t>
  </si>
  <si>
    <t>Saldo final em 31 de Dezembro de 2025</t>
  </si>
  <si>
    <t xml:space="preserve"> Dezembro 2025</t>
  </si>
  <si>
    <t>Despesas a realizar</t>
  </si>
  <si>
    <t>Arquivo: DADOS PARA FECHAMENTO FINANCEIRO</t>
  </si>
  <si>
    <t>13º SALÁRIOS E ENCARGOS SOBRE 13º SALÁRIOS A PAGAR</t>
  </si>
  <si>
    <t>13º Salários a Pagar</t>
  </si>
  <si>
    <t>FGTS s/ 13º Salários</t>
  </si>
  <si>
    <t>INSS s/ 13º Salários</t>
  </si>
  <si>
    <t>Salários, consignações a pagar e demais encargos</t>
  </si>
  <si>
    <t>Encargos Sociais - Convênio de Arrecadação Direta</t>
  </si>
  <si>
    <t>Quantidade de contratados até 31/12/2025</t>
  </si>
  <si>
    <t>Tributos</t>
  </si>
  <si>
    <t>Circulante - vencíveis nos próximos 12 meses</t>
  </si>
  <si>
    <t xml:space="preserve">IPTU </t>
  </si>
  <si>
    <t>RFB</t>
  </si>
  <si>
    <t>Soma</t>
  </si>
  <si>
    <t>Parcelamento</t>
  </si>
  <si>
    <t>Riscos nomeados – patrimoniais - Fábrica</t>
  </si>
  <si>
    <t>Riscos nomeados – patrimoniais - Terminal Portuário</t>
  </si>
  <si>
    <r>
      <rPr>
        <b/>
        <sz val="12"/>
        <rFont val="Times New Roman"/>
        <family val="1"/>
      </rPr>
      <t>*</t>
    </r>
    <r>
      <rPr>
        <sz val="10"/>
        <rFont val="Times New Roman"/>
        <family val="1"/>
        <charset val="1"/>
      </rPr>
      <t xml:space="preserve"> - 96 indivíduos desses dois últimos</t>
    </r>
  </si>
  <si>
    <t xml:space="preserve">                 Despesas a realizar</t>
  </si>
  <si>
    <t>-2114</t>
  </si>
  <si>
    <t>= -4786-1</t>
  </si>
  <si>
    <t>Baixa de saldo da reserva de incentivos fiscais</t>
  </si>
  <si>
    <t>Lucro (Prejuízo) líquido do exercício de 2025</t>
  </si>
  <si>
    <t>Falta completar o texto elaborado pela Rosângela</t>
  </si>
  <si>
    <t>Neste exercício está reconhecido como despesas a realizar o valor referente ao pagamento a Forgiatura para........</t>
  </si>
  <si>
    <t xml:space="preserve">Refere-se ao somatório do resultado do exercício de 2025, mais a transferência dos valores relativos a realização da reserva de reavaliação e a baixa de saldo da reserva de incentivos fiscais. </t>
  </si>
  <si>
    <t>+283</t>
  </si>
  <si>
    <t xml:space="preserve">  Baixa de Reserva de incentivos fiscais</t>
  </si>
  <si>
    <t>Saldo final em 31 de Dezembro de 2024</t>
  </si>
  <si>
    <t xml:space="preserve">  Destinação para Reserva de Incentivos Fiscais</t>
  </si>
  <si>
    <t xml:space="preserve">  Destinação para Reserva Legal</t>
  </si>
  <si>
    <t>-3693</t>
  </si>
  <si>
    <t>+3693</t>
  </si>
  <si>
    <t>-10840</t>
  </si>
  <si>
    <t>+1960</t>
  </si>
  <si>
    <t>Adiantamento de Viagens</t>
  </si>
  <si>
    <t>-8645</t>
  </si>
  <si>
    <t>+8645</t>
  </si>
  <si>
    <t>PLANO DE BENEFÍCIO DEFINIDO - BD</t>
  </si>
  <si>
    <t>DADOS POPULACIONAIS</t>
  </si>
  <si>
    <t>1. Participantes Ativos</t>
  </si>
  <si>
    <t xml:space="preserve">        1.2. Idade média (anos)</t>
  </si>
  <si>
    <t xml:space="preserve">        1.3. Tempo médio de empresa (total)</t>
  </si>
  <si>
    <t xml:space="preserve">        1.4. Idade média de aposentadoria (anos)</t>
  </si>
  <si>
    <t xml:space="preserve">        1.5. Salário médio (R$)</t>
  </si>
  <si>
    <t>2. Aposentados</t>
  </si>
  <si>
    <t>3. Pensionistas</t>
  </si>
  <si>
    <t xml:space="preserve">        1.1. Total de empregados vinculados ao plano</t>
  </si>
  <si>
    <t xml:space="preserve">        2.1. Total de aposentados</t>
  </si>
  <si>
    <t xml:space="preserve">        2.2. Idade média (anos)</t>
  </si>
  <si>
    <t xml:space="preserve">        2.3. Suplementação líquida média (R$)</t>
  </si>
  <si>
    <t xml:space="preserve">        3.1. Total de pensionistas</t>
  </si>
  <si>
    <t xml:space="preserve">        3.2. Idade média (anos)</t>
  </si>
  <si>
    <t xml:space="preserve">        3.3. Benefício líquido médio (R$)</t>
  </si>
  <si>
    <t>População Total</t>
  </si>
  <si>
    <t>Obrigações no início do exercício</t>
  </si>
  <si>
    <t>(Ganhos)/Perdas do exercício</t>
  </si>
  <si>
    <t>(-) Benefícios pagos no ano</t>
  </si>
  <si>
    <t>Obrigações no final do exercício</t>
  </si>
  <si>
    <t>MOVIMENTAÇÃO DAS OBRIGAÇÕES E ATIVOS FINANCEIROS</t>
  </si>
  <si>
    <t>Valor justo dos ativos financeiros no início do exercício</t>
  </si>
  <si>
    <t>Rentabilidade líquida esperada sobre os ativos financeiros</t>
  </si>
  <si>
    <t>Contribuições patronais normais</t>
  </si>
  <si>
    <t>Contribuições patronais extraordinárias</t>
  </si>
  <si>
    <t>Contribuições normais dos participantes ativos e auto patrocinados</t>
  </si>
  <si>
    <t>Contribuições extraordinárias dos participantes ativos e auto patrocinados</t>
  </si>
  <si>
    <t>(-) Benefícios pagos pelo plano</t>
  </si>
  <si>
    <t>Ganho/(Perdas) nos ativos financeiros</t>
  </si>
  <si>
    <t>Ativos financeiros no final do exercício</t>
  </si>
  <si>
    <r>
      <t>(-)Teto de ativo (</t>
    </r>
    <r>
      <rPr>
        <i/>
        <sz val="12"/>
        <color rgb="FF000000"/>
        <rFont val="Times New Roman"/>
        <family val="1"/>
      </rPr>
      <t>Asset Ceiling</t>
    </r>
    <r>
      <rPr>
        <sz val="12"/>
        <color rgb="FF000000"/>
        <rFont val="Times New Roman"/>
        <family val="1"/>
      </rPr>
      <t xml:space="preserve"> - Regra IAS)</t>
    </r>
  </si>
  <si>
    <t>Contrato de dívida já contabilizado (em milhares de reais)</t>
  </si>
  <si>
    <t>PASSIVO A SER RECONHECIDO NO EXERCÍCIO</t>
  </si>
  <si>
    <t>Custo do serviço corrente</t>
  </si>
  <si>
    <t>Juros líquidos sobre a avaliação atuarial</t>
  </si>
  <si>
    <t xml:space="preserve">  FLUXO</t>
  </si>
  <si>
    <t xml:space="preserve">  HANSA</t>
  </si>
  <si>
    <t>FLUXO</t>
  </si>
  <si>
    <t>DEFICIT APURADO</t>
  </si>
  <si>
    <t>24.1</t>
  </si>
  <si>
    <t>24.2.1</t>
  </si>
  <si>
    <t>24.2.2</t>
  </si>
  <si>
    <t>24.3</t>
  </si>
  <si>
    <t>24.4</t>
  </si>
  <si>
    <t>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</si>
</sst>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_-* #,##0.00_-;\-* #,##0.00_-;_-* \-??_-;_-@_-"/>
    <numFmt numFmtId="167" formatCode="#,##0.00;\(#,##0.00\)"/>
    <numFmt numFmtId="168" formatCode="_(* #,##0_);_(* \(#,##0\);_(* \-??_);_(@_)"/>
    <numFmt numFmtId="169" formatCode="_-* #,##0_-;\-* #,##0_-;_-* \-??_-;_-@_-"/>
    <numFmt numFmtId="170" formatCode="d/m/yyyy"/>
    <numFmt numFmtId="171" formatCode="#,##0;\(#,##0\)"/>
    <numFmt numFmtId="172" formatCode="_(* #,##0_);_(* \(#,##0\);_(* \-_);_(@_)"/>
    <numFmt numFmtId="173" formatCode="_-* #,##0_-;\-* #,##0_-;_-* &quot;-&quot;??_-;_-@_-"/>
    <numFmt numFmtId="174" formatCode="\-"/>
    <numFmt numFmtId="175" formatCode="_(* #,##0.00000_);_(* \(#,##0.00000\);_(* \-??_);_(@_)"/>
  </numFmts>
  <fonts count="120"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Arial"/>
      <family val="2"/>
    </font>
    <font>
      <b/>
      <sz val="12"/>
      <color rgb="FF000000"/>
      <name val="Arial"/>
      <family val="2"/>
    </font>
    <font>
      <sz val="10"/>
      <color rgb="FF000000"/>
      <name val="Arial"/>
      <family val="2"/>
    </font>
    <font>
      <sz val="10"/>
      <name val="Arial"/>
      <family val="2"/>
    </font>
    <font>
      <sz val="10"/>
      <color rgb="FF000000"/>
      <name val="Arial"/>
      <family val="2"/>
    </font>
    <font>
      <b/>
      <sz val="10"/>
      <color rgb="FF000000"/>
      <name val="Arial"/>
      <family val="2"/>
    </font>
    <font>
      <sz val="11"/>
      <color rgb="FF000000"/>
      <name val="Calibri"/>
      <family val="2"/>
      <charset val="1"/>
    </font>
    <font>
      <sz val="8"/>
      <color rgb="FF000000"/>
      <name val="Arial"/>
      <family val="2"/>
      <charset val="1"/>
    </font>
    <font>
      <sz val="10"/>
      <color rgb="FF000000"/>
      <name val="Arial"/>
      <family val="2"/>
      <charset val="1"/>
    </font>
    <font>
      <sz val="11"/>
      <color rgb="FF000000"/>
      <name val="Arial"/>
      <family val="2"/>
      <charset val="1"/>
    </font>
    <font>
      <sz val="10"/>
      <color rgb="FFFF0000"/>
      <name val="Arial"/>
      <family val="2"/>
    </font>
    <font>
      <sz val="12"/>
      <color rgb="FF000000"/>
      <name val="Times New Roman"/>
      <family val="1"/>
      <charset val="1"/>
    </font>
    <font>
      <sz val="12"/>
      <name val="Times New Roman"/>
      <family val="1"/>
      <charset val="1"/>
    </font>
    <font>
      <sz val="10"/>
      <name val="Times New Roman"/>
      <family val="1"/>
      <charset val="1"/>
    </font>
    <font>
      <i/>
      <sz val="10"/>
      <name val="Times New Roman"/>
      <family val="1"/>
      <charset val="1"/>
    </font>
    <font>
      <i/>
      <sz val="12"/>
      <color rgb="FF000000"/>
      <name val="Times New Roman"/>
      <family val="1"/>
      <charset val="1"/>
    </font>
    <font>
      <b/>
      <sz val="15"/>
      <color rgb="FF000000"/>
      <name val="Cambria"/>
      <family val="1"/>
      <charset val="1"/>
    </font>
    <font>
      <sz val="15"/>
      <color rgb="FF000000"/>
      <name val="Cambria"/>
      <family val="1"/>
      <charset val="1"/>
    </font>
    <font>
      <i/>
      <sz val="12"/>
      <color rgb="FF000000"/>
      <name val="Cambria"/>
      <family val="1"/>
      <charset val="1"/>
    </font>
    <font>
      <b/>
      <sz val="12"/>
      <color rgb="FFFFFFFF"/>
      <name val="Times New Roman"/>
      <family val="1"/>
      <charset val="1"/>
    </font>
    <font>
      <b/>
      <sz val="12"/>
      <color rgb="FF000000"/>
      <name val="Times New Roman"/>
      <family val="1"/>
      <charset val="1"/>
    </font>
    <font>
      <b/>
      <sz val="15"/>
      <name val="Cambria"/>
      <family val="1"/>
      <charset val="1"/>
    </font>
    <font>
      <sz val="15"/>
      <name val="Cambria"/>
      <family val="1"/>
      <charset val="1"/>
    </font>
    <font>
      <sz val="12"/>
      <color rgb="FFFF0000"/>
      <name val="Times New Roman"/>
      <family val="1"/>
      <charset val="1"/>
    </font>
    <font>
      <i/>
      <sz val="10"/>
      <color rgb="FF000000"/>
      <name val="Times New Roman"/>
      <family val="1"/>
      <charset val="1"/>
    </font>
    <font>
      <sz val="10"/>
      <name val="Arial"/>
      <family val="2"/>
      <charset val="1"/>
    </font>
    <font>
      <b/>
      <sz val="12"/>
      <name val="Times New Roman"/>
      <family val="1"/>
      <charset val="1"/>
    </font>
    <font>
      <i/>
      <sz val="12"/>
      <name val="Times New Roman"/>
      <family val="1"/>
      <charset val="1"/>
    </font>
    <font>
      <sz val="10"/>
      <color rgb="FF000000"/>
      <name val="Times New Roman"/>
      <family val="1"/>
      <charset val="1"/>
    </font>
    <font>
      <b/>
      <sz val="13"/>
      <color rgb="FF000000"/>
      <name val="Times New Roman"/>
      <family val="1"/>
      <charset val="1"/>
    </font>
    <font>
      <sz val="13"/>
      <color rgb="FF000000"/>
      <name val="Times New Roman"/>
      <family val="1"/>
      <charset val="1"/>
    </font>
    <font>
      <b/>
      <sz val="10"/>
      <color rgb="FF000000"/>
      <name val="Times New Roman"/>
      <family val="1"/>
      <charset val="1"/>
    </font>
    <font>
      <b/>
      <sz val="10"/>
      <color rgb="FF000000"/>
      <name val="Times New Roman"/>
      <family val="1"/>
    </font>
    <font>
      <b/>
      <sz val="15"/>
      <name val="Cambria"/>
      <family val="1"/>
    </font>
    <font>
      <sz val="15"/>
      <name val="Cambria"/>
      <family val="1"/>
    </font>
    <font>
      <sz val="10"/>
      <color rgb="FF000000"/>
      <name val="Arial"/>
      <family val="2"/>
    </font>
    <font>
      <sz val="10"/>
      <color rgb="FF000000"/>
      <name val="Times New Roman"/>
      <family val="1"/>
    </font>
    <font>
      <sz val="12"/>
      <name val="Times New Roman"/>
      <family val="1"/>
    </font>
    <font>
      <sz val="12"/>
      <color rgb="FF000000"/>
      <name val="Times New Roman"/>
      <family val="1"/>
    </font>
    <font>
      <sz val="10"/>
      <name val="Times New Roman"/>
      <family val="1"/>
    </font>
    <font>
      <i/>
      <sz val="12"/>
      <name val="Cambria"/>
      <family val="1"/>
      <charset val="1"/>
    </font>
    <font>
      <b/>
      <sz val="12"/>
      <name val="Cambria"/>
      <family val="1"/>
      <charset val="1"/>
    </font>
    <font>
      <sz val="12"/>
      <color rgb="FF000000"/>
      <name val="Cambria"/>
      <family val="1"/>
    </font>
    <font>
      <b/>
      <i/>
      <sz val="10"/>
      <color rgb="FFFF0000"/>
      <name val="Arial"/>
      <family val="2"/>
    </font>
    <font>
      <u/>
      <sz val="11"/>
      <color theme="10"/>
      <name val="Calibri"/>
      <family val="2"/>
      <scheme val="minor"/>
    </font>
    <font>
      <sz val="13"/>
      <name val="Cambria"/>
      <family val="1"/>
    </font>
    <font>
      <sz val="15"/>
      <color rgb="FF000000"/>
      <name val="Cambria"/>
      <family val="1"/>
    </font>
    <font>
      <sz val="13"/>
      <color rgb="FF000000"/>
      <name val="Cambria"/>
      <family val="1"/>
    </font>
    <font>
      <b/>
      <sz val="13"/>
      <name val="Cambria"/>
      <family val="1"/>
    </font>
    <font>
      <b/>
      <sz val="15"/>
      <name val="Times New Roman"/>
      <family val="1"/>
      <charset val="1"/>
    </font>
    <font>
      <sz val="15"/>
      <name val="Times New Roman"/>
      <family val="1"/>
      <charset val="1"/>
    </font>
    <font>
      <sz val="15"/>
      <color rgb="FF000000"/>
      <name val="Times New Roman"/>
      <family val="1"/>
      <charset val="1"/>
    </font>
    <font>
      <sz val="13"/>
      <color rgb="FFFFFFFF"/>
      <name val="Cambria"/>
      <family val="1"/>
    </font>
    <font>
      <b/>
      <sz val="15"/>
      <color rgb="FF000000"/>
      <name val="Cambria"/>
      <family val="1"/>
    </font>
    <font>
      <sz val="12"/>
      <name val="Cambria"/>
      <family val="1"/>
    </font>
    <font>
      <i/>
      <sz val="12"/>
      <color rgb="FF000000"/>
      <name val="Cambria"/>
      <family val="1"/>
    </font>
    <font>
      <i/>
      <sz val="10"/>
      <color rgb="FF000000"/>
      <name val="Cambria"/>
      <family val="1"/>
    </font>
    <font>
      <i/>
      <sz val="13"/>
      <color rgb="FF000000"/>
      <name val="Cambria"/>
      <family val="1"/>
    </font>
    <font>
      <b/>
      <sz val="12"/>
      <color rgb="FF000000"/>
      <name val="Cambria"/>
      <family val="1"/>
    </font>
    <font>
      <sz val="10"/>
      <color rgb="FF000000"/>
      <name val="Cambria"/>
      <family val="1"/>
    </font>
    <font>
      <i/>
      <sz val="13"/>
      <name val="Cambria"/>
      <family val="1"/>
    </font>
    <font>
      <sz val="10"/>
      <color rgb="FFFF0000"/>
      <name val="Cambria"/>
      <family val="1"/>
    </font>
    <font>
      <sz val="15"/>
      <color rgb="FFFFFFFF"/>
      <name val="Cambria"/>
      <family val="1"/>
    </font>
    <font>
      <b/>
      <sz val="12"/>
      <name val="Cambria"/>
      <family val="1"/>
    </font>
    <font>
      <b/>
      <i/>
      <sz val="15"/>
      <name val="Cambria"/>
      <family val="1"/>
    </font>
    <font>
      <i/>
      <sz val="12"/>
      <name val="Cambria"/>
      <family val="1"/>
    </font>
    <font>
      <sz val="15"/>
      <color theme="0"/>
      <name val="Cambria"/>
      <family val="1"/>
    </font>
    <font>
      <sz val="15"/>
      <color rgb="FFFF0000"/>
      <name val="Cambria"/>
      <family val="1"/>
    </font>
    <font>
      <b/>
      <i/>
      <sz val="12"/>
      <name val="Cambria"/>
      <family val="1"/>
    </font>
    <font>
      <b/>
      <i/>
      <sz val="12"/>
      <color rgb="FF000000"/>
      <name val="Cambria"/>
      <family val="1"/>
    </font>
    <font>
      <i/>
      <sz val="15"/>
      <name val="Cambria"/>
      <family val="1"/>
    </font>
    <font>
      <b/>
      <sz val="16"/>
      <name val="Cambria"/>
      <family val="1"/>
      <charset val="1"/>
    </font>
    <font>
      <sz val="15"/>
      <color theme="1"/>
      <name val="Cambria"/>
      <family val="1"/>
      <charset val="1"/>
    </font>
    <font>
      <u/>
      <sz val="12"/>
      <name val="Times New Roman"/>
      <family val="1"/>
      <charset val="1"/>
    </font>
    <font>
      <b/>
      <sz val="12"/>
      <color rgb="FFFF0000"/>
      <name val="Times New Roman"/>
      <family val="1"/>
    </font>
    <font>
      <b/>
      <sz val="9"/>
      <color rgb="FFFF0000"/>
      <name val="Times New Roman"/>
      <family val="1"/>
      <charset val="1"/>
    </font>
    <font>
      <b/>
      <sz val="15"/>
      <color theme="1"/>
      <name val="Cambria"/>
      <family val="1"/>
      <charset val="1"/>
    </font>
    <font>
      <sz val="12"/>
      <color theme="1"/>
      <name val="Times New Roman"/>
      <family val="1"/>
      <charset val="1"/>
    </font>
    <font>
      <sz val="10"/>
      <color rgb="FF000000"/>
      <name val="Calibri"/>
      <family val="2"/>
    </font>
    <font>
      <b/>
      <sz val="12"/>
      <color rgb="FF000000"/>
      <name val="Times New Roman"/>
      <family val="1"/>
    </font>
    <font>
      <sz val="10"/>
      <color rgb="FFFF0000"/>
      <name val="Times New Roman"/>
      <family val="1"/>
      <charset val="1"/>
    </font>
    <font>
      <sz val="12"/>
      <color rgb="FF0000FF"/>
      <name val="Times New Roman"/>
      <family val="1"/>
      <charset val="1"/>
    </font>
    <font>
      <sz val="11"/>
      <color theme="1"/>
      <name val="Calibri"/>
      <family val="2"/>
    </font>
    <font>
      <sz val="12"/>
      <color rgb="FFFF0000"/>
      <name val="Cambria"/>
      <family val="1"/>
    </font>
    <font>
      <sz val="8"/>
      <color rgb="FFFF0000"/>
      <name val="Times New Roman"/>
      <family val="1"/>
      <charset val="1"/>
    </font>
    <font>
      <sz val="8"/>
      <color rgb="FF000000"/>
      <name val="Times New Roman"/>
      <family val="1"/>
      <charset val="1"/>
    </font>
    <font>
      <sz val="12"/>
      <color rgb="FF0000FF"/>
      <name val="Cambria"/>
      <family val="1"/>
    </font>
    <font>
      <sz val="10"/>
      <color rgb="FF0000FF"/>
      <name val="Arial"/>
      <family val="2"/>
    </font>
    <font>
      <b/>
      <sz val="12"/>
      <name val="Times New Roman"/>
      <family val="1"/>
    </font>
    <font>
      <sz val="12"/>
      <color rgb="FFFF0000"/>
      <name val="Times New Roman"/>
      <family val="1"/>
    </font>
    <font>
      <i/>
      <sz val="12"/>
      <color rgb="FF000000"/>
      <name val="Times New Roman"/>
      <family val="1"/>
    </font>
    <font>
      <b/>
      <sz val="10"/>
      <name val="Times New Roman"/>
      <family val="1"/>
    </font>
    <font>
      <b/>
      <vertAlign val="superscript"/>
      <sz val="12"/>
      <name val="Times New Roman"/>
      <family val="1"/>
    </font>
    <font>
      <sz val="12"/>
      <color theme="0"/>
      <name val="Times New Roman"/>
      <family val="1"/>
    </font>
    <font>
      <b/>
      <i/>
      <sz val="12"/>
      <color rgb="FF000000"/>
      <name val="Times New Roman"/>
      <family val="1"/>
    </font>
    <font>
      <sz val="9"/>
      <color rgb="FFFF0000"/>
      <name val="Arial"/>
      <family val="2"/>
    </font>
    <font>
      <b/>
      <sz val="10"/>
      <name val="Arial"/>
      <family val="2"/>
    </font>
    <font>
      <b/>
      <sz val="11"/>
      <name val="Arial"/>
      <family val="2"/>
    </font>
    <font>
      <b/>
      <sz val="10"/>
      <color rgb="FFFF0000"/>
      <name val="Arial"/>
      <family val="2"/>
    </font>
    <font>
      <sz val="8"/>
      <color rgb="FFFF0000"/>
      <name val="Arial"/>
      <family val="2"/>
    </font>
    <font>
      <sz val="10"/>
      <color rgb="FFFF0000"/>
      <name val="Times New Roman"/>
      <family val="1"/>
    </font>
    <font>
      <b/>
      <sz val="12"/>
      <color theme="1"/>
      <name val="Times New Roman"/>
      <family val="1"/>
    </font>
    <font>
      <b/>
      <sz val="11"/>
      <color rgb="FF000000"/>
      <name val="Aptos"/>
      <family val="2"/>
    </font>
    <font>
      <sz val="11"/>
      <color rgb="FF000000"/>
      <name val="Aptos"/>
      <family val="2"/>
    </font>
    <font>
      <sz val="11"/>
      <color rgb="FF000000"/>
      <name val="Aptos Narrow"/>
      <family val="2"/>
    </font>
    <font>
      <b/>
      <sz val="10"/>
      <name val="Aptos"/>
      <family val="2"/>
    </font>
    <font>
      <sz val="7"/>
      <color rgb="FFFF0000"/>
      <name val="Arial"/>
      <family val="2"/>
    </font>
    <font>
      <sz val="7"/>
      <color rgb="FFFF0000"/>
      <name val="Times New Roman"/>
      <family val="1"/>
    </font>
    <font>
      <i/>
      <sz val="12"/>
      <name val="Times New Roman"/>
      <family val="1"/>
    </font>
    <font>
      <sz val="11"/>
      <color rgb="FF000000"/>
      <name val="Arial"/>
      <family val="2"/>
    </font>
    <font>
      <sz val="11"/>
      <name val="Arial"/>
      <family val="2"/>
    </font>
    <font>
      <sz val="9"/>
      <color rgb="FFFF0000"/>
      <name val="Times New Roman"/>
      <family val="1"/>
      <charset val="1"/>
    </font>
    <font>
      <sz val="10"/>
      <color theme="1"/>
      <name val="Times New Roman"/>
      <family val="1"/>
      <charset val="1"/>
    </font>
    <font>
      <sz val="10.5"/>
      <color theme="1"/>
      <name val="Calibri"/>
      <family val="2"/>
      <scheme val="minor"/>
    </font>
  </fonts>
  <fills count="32">
    <fill>
      <patternFill patternType="none"/>
    </fill>
    <fill>
      <patternFill patternType="gray125"/>
    </fill>
    <fill>
      <patternFill patternType="solid">
        <fgColor theme="8" tint="-0.249977111117893"/>
        <bgColor indexed="64"/>
      </patternFill>
    </fill>
    <fill>
      <patternFill patternType="solid">
        <fgColor theme="4" tint="0.79998168889431442"/>
        <bgColor indexed="64"/>
      </patternFill>
    </fill>
    <fill>
      <patternFill patternType="solid">
        <fgColor rgb="FFFFFFFF"/>
        <bgColor rgb="FFF2F2F2"/>
      </patternFill>
    </fill>
    <fill>
      <patternFill patternType="solid">
        <fgColor theme="0"/>
        <bgColor indexed="64"/>
      </patternFill>
    </fill>
    <fill>
      <patternFill patternType="solid">
        <fgColor theme="0"/>
        <bgColor rgb="FFF2F2F2"/>
      </patternFill>
    </fill>
    <fill>
      <patternFill patternType="solid">
        <fgColor rgb="FF002060"/>
        <bgColor indexed="64"/>
      </patternFill>
    </fill>
    <fill>
      <patternFill patternType="solid">
        <fgColor theme="5" tint="-0.49998474074526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rgb="FF334F7D"/>
      </patternFill>
    </fill>
    <fill>
      <patternFill patternType="solid">
        <fgColor theme="0"/>
        <bgColor rgb="FFB4C7E7"/>
      </patternFill>
    </fill>
    <fill>
      <patternFill patternType="solid">
        <fgColor theme="0"/>
        <bgColor rgb="FFDAE3F3"/>
      </patternFill>
    </fill>
    <fill>
      <patternFill patternType="solid">
        <fgColor theme="9" tint="0.79998168889431442"/>
        <bgColor rgb="FF334F7D"/>
      </patternFill>
    </fill>
    <fill>
      <patternFill patternType="solid">
        <fgColor theme="9" tint="0.79998168889431442"/>
        <bgColor indexed="64"/>
      </patternFill>
    </fill>
    <fill>
      <patternFill patternType="solid">
        <fgColor theme="0"/>
        <bgColor rgb="FF222A35"/>
      </patternFill>
    </fill>
    <fill>
      <patternFill patternType="solid">
        <fgColor rgb="FFFFFFFF"/>
        <bgColor rgb="FF222A35"/>
      </patternFill>
    </fill>
    <fill>
      <patternFill patternType="solid">
        <fgColor rgb="FFFFFFFF"/>
        <bgColor rgb="FF000000"/>
      </patternFill>
    </fill>
    <fill>
      <patternFill patternType="solid">
        <fgColor rgb="FFFFFFFF"/>
        <bgColor rgb="FFE2F0D9"/>
      </patternFill>
    </fill>
    <fill>
      <patternFill patternType="solid">
        <fgColor theme="0"/>
        <bgColor rgb="FFE2F0D9"/>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39997558519241921"/>
        <bgColor rgb="FF000000"/>
      </patternFill>
    </fill>
    <fill>
      <patternFill patternType="solid">
        <fgColor theme="0"/>
        <bgColor rgb="FF000000"/>
      </patternFill>
    </fill>
    <fill>
      <patternFill patternType="solid">
        <fgColor theme="7" tint="0.39997558519241921"/>
        <bgColor indexed="64"/>
      </patternFill>
    </fill>
    <fill>
      <patternFill patternType="solid">
        <fgColor rgb="FFFFFF00"/>
        <bgColor rgb="FFF2F2F2"/>
      </patternFill>
    </fill>
    <fill>
      <patternFill patternType="solid">
        <fgColor theme="7" tint="0.59999389629810485"/>
        <bgColor rgb="FFF2F2F2"/>
      </patternFill>
    </fill>
    <fill>
      <patternFill patternType="solid">
        <fgColor theme="0"/>
        <bgColor indexed="56"/>
      </patternFill>
    </fill>
    <fill>
      <patternFill patternType="solid">
        <fgColor rgb="FFFFFF00"/>
        <bgColor rgb="FFE2F0D9"/>
      </patternFill>
    </fill>
    <fill>
      <patternFill patternType="solid">
        <fgColor rgb="FFFFFF00"/>
        <bgColor rgb="FF222A35"/>
      </patternFill>
    </fill>
  </fills>
  <borders count="5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auto="1"/>
      </bottom>
      <diagonal/>
    </border>
    <border>
      <left/>
      <right style="medium">
        <color theme="0"/>
      </right>
      <top/>
      <bottom/>
      <diagonal/>
    </border>
    <border>
      <left style="medium">
        <color theme="0"/>
      </left>
      <right/>
      <top/>
      <bottom/>
      <diagonal/>
    </border>
    <border>
      <left style="medium">
        <color rgb="FFFFFFFF"/>
      </left>
      <right style="thin">
        <color rgb="FFFFFFFF"/>
      </right>
      <top/>
      <bottom/>
      <diagonal/>
    </border>
    <border>
      <left style="medium">
        <color rgb="FFFFFFFF"/>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medium">
        <color rgb="FFFFFFFF"/>
      </left>
      <right/>
      <top style="thin">
        <color rgb="FFFFFFFF"/>
      </top>
      <bottom style="thin">
        <color rgb="FFFFFFFF"/>
      </bottom>
      <diagonal/>
    </border>
    <border>
      <left style="thin">
        <color theme="0"/>
      </left>
      <right style="thin">
        <color rgb="FFFFFFFF"/>
      </right>
      <top/>
      <bottom style="thin">
        <color theme="0"/>
      </bottom>
      <diagonal/>
    </border>
    <border>
      <left style="thin">
        <color theme="0"/>
      </left>
      <right style="medium">
        <color rgb="FFFFFFFF"/>
      </right>
      <top/>
      <bottom/>
      <diagonal/>
    </border>
    <border>
      <left style="thin">
        <color rgb="FFFFFFFF"/>
      </left>
      <right style="thin">
        <color rgb="FFFFFFFF"/>
      </right>
      <top/>
      <bottom/>
      <diagonal/>
    </border>
    <border>
      <left style="thin">
        <color rgb="FFFFFFFF"/>
      </left>
      <right/>
      <top/>
      <bottom/>
      <diagonal/>
    </border>
    <border>
      <left style="medium">
        <color rgb="FFFFFFFF"/>
      </left>
      <right/>
      <top style="thin">
        <color auto="1"/>
      </top>
      <bottom style="thin">
        <color auto="1"/>
      </bottom>
      <diagonal/>
    </border>
    <border>
      <left/>
      <right style="medium">
        <color rgb="FFFFFFFF"/>
      </right>
      <top/>
      <bottom/>
      <diagonal/>
    </border>
    <border>
      <left style="medium">
        <color rgb="FFFFFFFF"/>
      </left>
      <right style="medium">
        <color rgb="FFFFFFFF"/>
      </right>
      <top/>
      <bottom/>
      <diagonal/>
    </border>
    <border>
      <left/>
      <right/>
      <top style="thin">
        <color auto="1"/>
      </top>
      <bottom style="double">
        <color auto="1"/>
      </bottom>
      <diagonal/>
    </border>
    <border>
      <left style="medium">
        <color rgb="FFFFFFFF"/>
      </left>
      <right style="medium">
        <color rgb="FFFFFFFF"/>
      </right>
      <top style="thin">
        <color auto="1"/>
      </top>
      <bottom style="double">
        <color auto="1"/>
      </bottom>
      <diagonal/>
    </border>
    <border>
      <left style="medium">
        <color rgb="FFFFFFFF"/>
      </left>
      <right/>
      <top/>
      <bottom style="thin">
        <color indexed="64"/>
      </bottom>
      <diagonal/>
    </border>
    <border>
      <left style="medium">
        <color rgb="FFFFFFFF"/>
      </left>
      <right/>
      <top style="thin">
        <color auto="1"/>
      </top>
      <bottom style="double">
        <color auto="1"/>
      </bottom>
      <diagonal/>
    </border>
    <border>
      <left style="thin">
        <color rgb="FFFFFFFF"/>
      </left>
      <right/>
      <top/>
      <bottom style="thin">
        <color auto="1"/>
      </bottom>
      <diagonal/>
    </border>
    <border>
      <left style="thin">
        <color rgb="FFFFFFFF"/>
      </left>
      <right/>
      <top style="thin">
        <color rgb="FFFFFFFF"/>
      </top>
      <bottom/>
      <diagonal/>
    </border>
    <border>
      <left/>
      <right/>
      <top style="thin">
        <color rgb="FFFFFFFF"/>
      </top>
      <bottom/>
      <diagonal/>
    </border>
    <border>
      <left style="medium">
        <color rgb="FFFFFFFF"/>
      </left>
      <right/>
      <top style="thin">
        <color rgb="FFFFFFFF"/>
      </top>
      <bottom/>
      <diagonal/>
    </border>
    <border>
      <left/>
      <right/>
      <top style="thin">
        <color auto="1"/>
      </top>
      <bottom style="thin">
        <color rgb="FFFFFFFF"/>
      </bottom>
      <diagonal/>
    </border>
    <border>
      <left style="medium">
        <color rgb="FFFFFFFF"/>
      </left>
      <right/>
      <top style="thin">
        <color auto="1"/>
      </top>
      <bottom style="thin">
        <color rgb="FFFFFFFF"/>
      </bottom>
      <diagonal/>
    </border>
    <border>
      <left style="thin">
        <color rgb="FFFFFFFF"/>
      </left>
      <right/>
      <top style="thin">
        <color auto="1"/>
      </top>
      <bottom style="double">
        <color auto="1"/>
      </bottom>
      <diagonal/>
    </border>
    <border>
      <left style="thin">
        <color rgb="FFFFFFFF"/>
      </left>
      <right/>
      <top/>
      <bottom style="thin">
        <color rgb="FFFFFFFF"/>
      </bottom>
      <diagonal/>
    </border>
    <border>
      <left/>
      <right/>
      <top/>
      <bottom style="thin">
        <color rgb="FFFFFFFF"/>
      </bottom>
      <diagonal/>
    </border>
    <border>
      <left style="medium">
        <color rgb="FFFFFFFF"/>
      </left>
      <right/>
      <top/>
      <bottom style="thin">
        <color rgb="FFFFFFFF"/>
      </bottom>
      <diagonal/>
    </border>
    <border>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auto="1"/>
      </top>
      <bottom/>
      <diagonal/>
    </border>
    <border>
      <left/>
      <right style="medium">
        <color rgb="FFFFFFFF"/>
      </right>
      <top/>
      <bottom style="double">
        <color indexed="64"/>
      </bottom>
      <diagonal/>
    </border>
    <border>
      <left style="medium">
        <color rgb="FFFFFFFF"/>
      </left>
      <right style="medium">
        <color rgb="FFFFFFFF"/>
      </right>
      <top style="double">
        <color theme="1"/>
      </top>
      <bottom style="thin">
        <color indexed="64"/>
      </bottom>
      <diagonal/>
    </border>
    <border>
      <left/>
      <right/>
      <top style="hair">
        <color rgb="FFFF0000"/>
      </top>
      <bottom style="hair">
        <color rgb="FFFF0000"/>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9">
    <xf numFmtId="0" fontId="0" fillId="0" borderId="0"/>
    <xf numFmtId="43" fontId="8" fillId="0" borderId="0" applyFont="0" applyFill="0" applyBorder="0" applyAlignment="0" applyProtection="0"/>
    <xf numFmtId="0" fontId="12" fillId="0" borderId="0"/>
    <xf numFmtId="0" fontId="13" fillId="0" borderId="0"/>
    <xf numFmtId="165" fontId="10" fillId="0" borderId="0" applyBorder="0" applyProtection="0"/>
    <xf numFmtId="0" fontId="10" fillId="0" borderId="0"/>
    <xf numFmtId="166" fontId="10" fillId="0" borderId="0" applyBorder="0" applyProtection="0"/>
    <xf numFmtId="0" fontId="14" fillId="0" borderId="0"/>
    <xf numFmtId="165" fontId="10" fillId="0" borderId="0" applyBorder="0" applyProtection="0"/>
    <xf numFmtId="0" fontId="12" fillId="0" borderId="0"/>
    <xf numFmtId="0" fontId="31" fillId="0" borderId="0"/>
    <xf numFmtId="165" fontId="10" fillId="0" borderId="0" applyBorder="0" applyProtection="0"/>
    <xf numFmtId="0" fontId="14" fillId="0" borderId="0"/>
    <xf numFmtId="9" fontId="10" fillId="0" borderId="0" applyBorder="0" applyProtection="0"/>
    <xf numFmtId="165" fontId="10" fillId="0" borderId="0" applyBorder="0" applyProtection="0"/>
    <xf numFmtId="0" fontId="14" fillId="0" borderId="0"/>
    <xf numFmtId="165" fontId="10" fillId="0" borderId="0" applyBorder="0" applyProtection="0"/>
    <xf numFmtId="166" fontId="10" fillId="0" borderId="0" applyBorder="0" applyProtection="0"/>
    <xf numFmtId="9" fontId="10" fillId="0" borderId="0" applyBorder="0" applyProtection="0"/>
    <xf numFmtId="166" fontId="10" fillId="0" borderId="0" applyBorder="0" applyProtection="0"/>
    <xf numFmtId="9" fontId="10" fillId="0" borderId="0" applyBorder="0" applyProtection="0"/>
    <xf numFmtId="44" fontId="10" fillId="0" borderId="0" applyFont="0" applyFill="0" applyBorder="0" applyAlignment="0" applyProtection="0"/>
    <xf numFmtId="9" fontId="10" fillId="0" borderId="0" applyBorder="0" applyProtection="0"/>
    <xf numFmtId="165" fontId="10" fillId="0" borderId="0" applyBorder="0" applyProtection="0"/>
    <xf numFmtId="9" fontId="41" fillId="0" borderId="0" applyFont="0" applyFill="0" applyBorder="0" applyAlignment="0" applyProtection="0"/>
    <xf numFmtId="0" fontId="9" fillId="0" borderId="0"/>
    <xf numFmtId="164"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Border="0" applyProtection="0"/>
    <xf numFmtId="165" fontId="8" fillId="0" borderId="0" applyBorder="0" applyProtection="0"/>
    <xf numFmtId="0" fontId="14" fillId="0" borderId="0"/>
    <xf numFmtId="0" fontId="12" fillId="0" borderId="0"/>
    <xf numFmtId="165" fontId="8" fillId="0" borderId="0" applyBorder="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8" fillId="0" borderId="0" applyFont="0" applyFill="0" applyBorder="0" applyAlignment="0" applyProtection="0"/>
    <xf numFmtId="0" fontId="50" fillId="0" borderId="0" applyNumberFormat="0" applyFill="0" applyBorder="0" applyAlignment="0" applyProtection="0"/>
    <xf numFmtId="43" fontId="5" fillId="0" borderId="0" applyFont="0" applyFill="0" applyBorder="0" applyAlignment="0" applyProtection="0"/>
    <xf numFmtId="166" fontId="8" fillId="0" borderId="0" applyBorder="0" applyProtection="0"/>
    <xf numFmtId="165" fontId="8" fillId="0" borderId="0" applyBorder="0" applyProtection="0"/>
    <xf numFmtId="166" fontId="8" fillId="0" borderId="0" applyBorder="0" applyProtection="0"/>
    <xf numFmtId="43" fontId="8" fillId="0" borderId="0" applyFont="0" applyFill="0" applyBorder="0" applyAlignment="0" applyProtection="0"/>
    <xf numFmtId="165" fontId="8" fillId="0" borderId="0" applyBorder="0" applyProtection="0"/>
    <xf numFmtId="165" fontId="8" fillId="0" borderId="0" applyBorder="0" applyProtection="0"/>
    <xf numFmtId="9" fontId="8" fillId="0" borderId="0" applyBorder="0" applyProtection="0"/>
    <xf numFmtId="165" fontId="8" fillId="0" borderId="0" applyBorder="0" applyProtection="0"/>
    <xf numFmtId="166" fontId="8" fillId="0" borderId="0" applyBorder="0" applyProtection="0"/>
    <xf numFmtId="9" fontId="8" fillId="0" borderId="0" applyBorder="0" applyProtection="0"/>
    <xf numFmtId="9" fontId="8" fillId="0" borderId="0" applyBorder="0" applyProtection="0"/>
    <xf numFmtId="44" fontId="8" fillId="0" borderId="0" applyFont="0" applyFill="0" applyBorder="0" applyAlignment="0" applyProtection="0"/>
    <xf numFmtId="9" fontId="8" fillId="0" borderId="0" applyBorder="0" applyProtection="0"/>
    <xf numFmtId="165" fontId="8" fillId="0" borderId="0" applyBorder="0" applyProtection="0"/>
    <xf numFmtId="43" fontId="9"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8"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9" fontId="8" fillId="0" borderId="0" applyBorder="0" applyProtection="0"/>
    <xf numFmtId="166" fontId="8" fillId="0" borderId="0" applyBorder="0" applyProtection="0"/>
    <xf numFmtId="9" fontId="8" fillId="0" borderId="0" applyBorder="0" applyProtection="0"/>
    <xf numFmtId="9" fontId="8" fillId="0" borderId="0" applyBorder="0" applyProtection="0"/>
    <xf numFmtId="44" fontId="8" fillId="0" borderId="0" applyFont="0" applyFill="0" applyBorder="0" applyAlignment="0" applyProtection="0"/>
    <xf numFmtId="9" fontId="8" fillId="0" borderId="0" applyBorder="0" applyProtection="0"/>
    <xf numFmtId="165" fontId="8" fillId="0" borderId="0" applyBorder="0" applyProtection="0"/>
    <xf numFmtId="165" fontId="8" fillId="0" borderId="0" applyBorder="0" applyProtection="0"/>
    <xf numFmtId="0" fontId="88" fillId="0" borderId="0"/>
    <xf numFmtId="0" fontId="3" fillId="0" borderId="0"/>
    <xf numFmtId="0" fontId="2" fillId="0" borderId="0"/>
    <xf numFmtId="43" fontId="2" fillId="0" borderId="0" applyFont="0" applyFill="0" applyBorder="0" applyAlignment="0" applyProtection="0"/>
  </cellStyleXfs>
  <cellXfs count="1009">
    <xf numFmtId="0" fontId="0" fillId="0" borderId="0" xfId="0"/>
    <xf numFmtId="39" fontId="0" fillId="0" borderId="0" xfId="0" applyNumberFormat="1"/>
    <xf numFmtId="0" fontId="6" fillId="2" borderId="0" xfId="0" applyFont="1" applyFill="1" applyAlignment="1">
      <alignment horizontal="center"/>
    </xf>
    <xf numFmtId="0" fontId="7" fillId="0" borderId="0" xfId="0" applyFont="1" applyAlignment="1">
      <alignment horizontal="center" vertical="center"/>
    </xf>
    <xf numFmtId="0" fontId="0" fillId="0" borderId="0" xfId="0" applyAlignment="1">
      <alignment vertical="center"/>
    </xf>
    <xf numFmtId="0" fontId="0" fillId="0" borderId="0" xfId="0" applyAlignment="1">
      <alignment horizontal="center"/>
    </xf>
    <xf numFmtId="43" fontId="0" fillId="0" borderId="0" xfId="0" applyNumberFormat="1"/>
    <xf numFmtId="4" fontId="0" fillId="0" borderId="0" xfId="0" applyNumberFormat="1"/>
    <xf numFmtId="0" fontId="15" fillId="4" borderId="0" xfId="5" applyFont="1" applyFill="1" applyAlignment="1">
      <alignment horizontal="left"/>
    </xf>
    <xf numFmtId="168" fontId="15" fillId="4" borderId="0" xfId="4" applyNumberFormat="1" applyFont="1" applyFill="1" applyBorder="1" applyProtection="1"/>
    <xf numFmtId="0" fontId="14" fillId="0" borderId="0" xfId="5" applyFont="1"/>
    <xf numFmtId="0" fontId="17" fillId="0" borderId="0" xfId="5" applyFont="1"/>
    <xf numFmtId="0" fontId="17" fillId="0" borderId="0" xfId="7" applyFont="1"/>
    <xf numFmtId="168" fontId="18" fillId="0" borderId="0" xfId="8" applyNumberFormat="1" applyFont="1" applyBorder="1" applyProtection="1"/>
    <xf numFmtId="165" fontId="19" fillId="0" borderId="0" xfId="9" applyNumberFormat="1" applyFont="1" applyAlignment="1">
      <alignment horizontal="right"/>
    </xf>
    <xf numFmtId="165" fontId="20" fillId="0" borderId="0" xfId="9" applyNumberFormat="1" applyFont="1" applyAlignment="1">
      <alignment horizontal="right"/>
    </xf>
    <xf numFmtId="166" fontId="17" fillId="0" borderId="0" xfId="6" applyFont="1" applyBorder="1" applyProtection="1"/>
    <xf numFmtId="169" fontId="21" fillId="0" borderId="0" xfId="6" applyNumberFormat="1" applyFont="1" applyBorder="1" applyProtection="1"/>
    <xf numFmtId="0" fontId="21" fillId="0" borderId="0" xfId="7" applyFont="1"/>
    <xf numFmtId="166" fontId="21" fillId="0" borderId="0" xfId="6" applyFont="1" applyBorder="1" applyProtection="1"/>
    <xf numFmtId="0" fontId="17" fillId="0" borderId="0" xfId="5" applyFont="1" applyAlignment="1">
      <alignment vertical="center"/>
    </xf>
    <xf numFmtId="166" fontId="17" fillId="0" borderId="0" xfId="6" applyFont="1" applyBorder="1" applyAlignment="1" applyProtection="1">
      <alignment vertical="center"/>
    </xf>
    <xf numFmtId="0" fontId="24" fillId="0" borderId="0" xfId="5" applyFont="1" applyAlignment="1">
      <alignment horizontal="right" vertical="center"/>
    </xf>
    <xf numFmtId="0" fontId="26" fillId="0" borderId="0" xfId="5" applyFont="1" applyAlignment="1">
      <alignment vertical="center"/>
    </xf>
    <xf numFmtId="0" fontId="30" fillId="0" borderId="0" xfId="5" applyFont="1" applyAlignment="1">
      <alignment horizontal="right"/>
    </xf>
    <xf numFmtId="0" fontId="18" fillId="0" borderId="0" xfId="10" applyFont="1" applyAlignment="1">
      <alignment horizontal="center"/>
    </xf>
    <xf numFmtId="0" fontId="18" fillId="0" borderId="0" xfId="10" applyFont="1"/>
    <xf numFmtId="166" fontId="17" fillId="0" borderId="0" xfId="5" applyNumberFormat="1" applyFont="1"/>
    <xf numFmtId="0" fontId="18" fillId="0" borderId="0" xfId="10" applyFont="1" applyAlignment="1">
      <alignment horizontal="center" vertical="center"/>
    </xf>
    <xf numFmtId="0" fontId="18" fillId="0" borderId="0" xfId="10" applyFont="1" applyAlignment="1">
      <alignment vertical="center"/>
    </xf>
    <xf numFmtId="0" fontId="17" fillId="0" borderId="10" xfId="5" applyFont="1" applyBorder="1" applyAlignment="1">
      <alignment vertical="center"/>
    </xf>
    <xf numFmtId="167" fontId="17" fillId="0" borderId="0" xfId="6" applyNumberFormat="1" applyFont="1" applyBorder="1" applyProtection="1"/>
    <xf numFmtId="172" fontId="18" fillId="0" borderId="0" xfId="10" applyNumberFormat="1" applyFont="1"/>
    <xf numFmtId="0" fontId="32" fillId="0" borderId="0" xfId="10" applyFont="1" applyAlignment="1">
      <alignment vertical="center"/>
    </xf>
    <xf numFmtId="0" fontId="28" fillId="0" borderId="0" xfId="10" applyFont="1" applyAlignment="1">
      <alignment vertical="center"/>
    </xf>
    <xf numFmtId="168" fontId="28" fillId="0" borderId="0" xfId="4" applyNumberFormat="1" applyFont="1" applyBorder="1" applyAlignment="1" applyProtection="1">
      <alignment horizontal="center" vertical="center"/>
    </xf>
    <xf numFmtId="0" fontId="18" fillId="4" borderId="0" xfId="10" applyFont="1" applyFill="1" applyAlignment="1">
      <alignment vertical="center"/>
    </xf>
    <xf numFmtId="0" fontId="28" fillId="4" borderId="0" xfId="10" applyFont="1" applyFill="1" applyAlignment="1">
      <alignment vertical="center"/>
    </xf>
    <xf numFmtId="168" fontId="28" fillId="4" borderId="10" xfId="4" applyNumberFormat="1" applyFont="1" applyFill="1" applyBorder="1" applyAlignment="1" applyProtection="1">
      <alignment horizontal="center" vertical="center"/>
    </xf>
    <xf numFmtId="0" fontId="32" fillId="4" borderId="0" xfId="10" applyFont="1" applyFill="1" applyAlignment="1">
      <alignment vertical="center"/>
    </xf>
    <xf numFmtId="168" fontId="28" fillId="6" borderId="0" xfId="4" applyNumberFormat="1" applyFont="1" applyFill="1" applyBorder="1" applyAlignment="1" applyProtection="1">
      <alignment horizontal="center" vertical="center"/>
    </xf>
    <xf numFmtId="168" fontId="28" fillId="4" borderId="0" xfId="10" applyNumberFormat="1" applyFont="1" applyFill="1" applyAlignment="1">
      <alignment vertical="center"/>
    </xf>
    <xf numFmtId="165" fontId="28" fillId="0" borderId="0" xfId="4" applyFont="1" applyBorder="1" applyAlignment="1" applyProtection="1">
      <alignment horizontal="center" vertical="center"/>
    </xf>
    <xf numFmtId="165" fontId="28" fillId="0" borderId="10" xfId="4" applyFont="1" applyBorder="1" applyAlignment="1" applyProtection="1">
      <alignment horizontal="center" vertical="center"/>
    </xf>
    <xf numFmtId="0" fontId="23" fillId="0" borderId="0" xfId="10" applyFont="1" applyAlignment="1">
      <alignment vertical="center"/>
    </xf>
    <xf numFmtId="0" fontId="33" fillId="0" borderId="0" xfId="10" applyFont="1"/>
    <xf numFmtId="168" fontId="18" fillId="0" borderId="0" xfId="10" applyNumberFormat="1" applyFont="1"/>
    <xf numFmtId="166" fontId="18" fillId="0" borderId="0" xfId="10" applyNumberFormat="1" applyFont="1"/>
    <xf numFmtId="43" fontId="18" fillId="0" borderId="0" xfId="10" applyNumberFormat="1" applyFont="1"/>
    <xf numFmtId="165" fontId="18" fillId="0" borderId="0" xfId="10" applyNumberFormat="1" applyFont="1"/>
    <xf numFmtId="0" fontId="18" fillId="4" borderId="0" xfId="10" applyFont="1" applyFill="1"/>
    <xf numFmtId="165" fontId="18" fillId="0" borderId="0" xfId="11" applyFont="1" applyBorder="1" applyProtection="1"/>
    <xf numFmtId="165" fontId="18" fillId="4" borderId="0" xfId="11" applyFont="1" applyFill="1" applyBorder="1" applyProtection="1"/>
    <xf numFmtId="165" fontId="18" fillId="4" borderId="0" xfId="13" applyNumberFormat="1" applyFont="1" applyFill="1" applyBorder="1" applyAlignment="1" applyProtection="1">
      <alignment vertical="center"/>
    </xf>
    <xf numFmtId="165" fontId="18" fillId="4" borderId="0" xfId="10" applyNumberFormat="1" applyFont="1" applyFill="1" applyAlignment="1">
      <alignment vertical="center"/>
    </xf>
    <xf numFmtId="168" fontId="18" fillId="4" borderId="0" xfId="11" applyNumberFormat="1" applyFont="1" applyFill="1" applyBorder="1" applyProtection="1"/>
    <xf numFmtId="4" fontId="17" fillId="4" borderId="0" xfId="12" applyNumberFormat="1" applyFont="1" applyFill="1" applyAlignment="1">
      <alignment horizontal="right" vertical="center" wrapText="1"/>
    </xf>
    <xf numFmtId="165" fontId="18" fillId="0" borderId="0" xfId="14" applyFont="1" applyBorder="1" applyProtection="1"/>
    <xf numFmtId="167" fontId="17" fillId="0" borderId="0" xfId="5" applyNumberFormat="1" applyFont="1" applyAlignment="1">
      <alignment vertical="center"/>
    </xf>
    <xf numFmtId="167" fontId="25" fillId="0" borderId="0" xfId="6" applyNumberFormat="1" applyFont="1" applyBorder="1" applyProtection="1"/>
    <xf numFmtId="172" fontId="32" fillId="0" borderId="0" xfId="10" applyNumberFormat="1" applyFont="1" applyAlignment="1">
      <alignment vertical="center"/>
    </xf>
    <xf numFmtId="165" fontId="18" fillId="0" borderId="0" xfId="16" applyFont="1" applyBorder="1" applyProtection="1"/>
    <xf numFmtId="0" fontId="27" fillId="0" borderId="0" xfId="10" applyFont="1"/>
    <xf numFmtId="0" fontId="27" fillId="0" borderId="20" xfId="10" applyFont="1" applyBorder="1"/>
    <xf numFmtId="0" fontId="28" fillId="0" borderId="20" xfId="10" applyFont="1" applyBorder="1" applyAlignment="1">
      <alignment horizontal="center"/>
    </xf>
    <xf numFmtId="0" fontId="18" fillId="0" borderId="20" xfId="10" applyFont="1" applyBorder="1" applyAlignment="1">
      <alignment horizontal="center"/>
    </xf>
    <xf numFmtId="165" fontId="18" fillId="0" borderId="20" xfId="16" applyFont="1" applyBorder="1" applyProtection="1"/>
    <xf numFmtId="168" fontId="18" fillId="0" borderId="20" xfId="16" applyNumberFormat="1" applyFont="1" applyBorder="1" applyProtection="1"/>
    <xf numFmtId="168" fontId="18" fillId="0" borderId="0" xfId="16" applyNumberFormat="1" applyFont="1" applyBorder="1" applyProtection="1"/>
    <xf numFmtId="165" fontId="33" fillId="0" borderId="0" xfId="16" applyFont="1" applyBorder="1" applyProtection="1"/>
    <xf numFmtId="0" fontId="17" fillId="0" borderId="0" xfId="9" applyFont="1"/>
    <xf numFmtId="0" fontId="34" fillId="0" borderId="0" xfId="9" applyFont="1"/>
    <xf numFmtId="0" fontId="26" fillId="0" borderId="0" xfId="9" applyFont="1"/>
    <xf numFmtId="3" fontId="34" fillId="4" borderId="0" xfId="9" applyNumberFormat="1" applyFont="1" applyFill="1" applyAlignment="1">
      <alignment horizontal="right" vertical="center" wrapText="1"/>
    </xf>
    <xf numFmtId="0" fontId="34" fillId="0" borderId="0" xfId="9" applyFont="1" applyAlignment="1">
      <alignment vertical="center"/>
    </xf>
    <xf numFmtId="0" fontId="35" fillId="0" borderId="0" xfId="9" applyFont="1"/>
    <xf numFmtId="0" fontId="18" fillId="0" borderId="0" xfId="9" applyFont="1"/>
    <xf numFmtId="0" fontId="26" fillId="0" borderId="0" xfId="9" applyFont="1" applyAlignment="1">
      <alignment vertical="top"/>
    </xf>
    <xf numFmtId="0" fontId="26" fillId="0" borderId="0" xfId="9" applyFont="1" applyAlignment="1">
      <alignment horizontal="left" vertical="top"/>
    </xf>
    <xf numFmtId="165" fontId="40" fillId="0" borderId="0" xfId="4" applyFont="1" applyBorder="1" applyAlignment="1" applyProtection="1">
      <alignment vertical="center"/>
    </xf>
    <xf numFmtId="0" fontId="7" fillId="7" borderId="0" xfId="0" applyFont="1" applyFill="1" applyAlignment="1">
      <alignment horizontal="center" vertical="center"/>
    </xf>
    <xf numFmtId="0" fontId="7" fillId="8" borderId="0" xfId="0" applyFont="1" applyFill="1" applyAlignment="1">
      <alignment horizontal="center" vertical="center"/>
    </xf>
    <xf numFmtId="0" fontId="8" fillId="0" borderId="0" xfId="0" applyFont="1"/>
    <xf numFmtId="17" fontId="7" fillId="7" borderId="0" xfId="0" applyNumberFormat="1" applyFont="1" applyFill="1" applyAlignment="1">
      <alignment horizontal="center" vertical="center"/>
    </xf>
    <xf numFmtId="0" fontId="16" fillId="0" borderId="0" xfId="0" applyFont="1"/>
    <xf numFmtId="43" fontId="16" fillId="0" borderId="0" xfId="1" applyFont="1"/>
    <xf numFmtId="43" fontId="16" fillId="0" borderId="0" xfId="1" applyFont="1" applyAlignment="1"/>
    <xf numFmtId="0" fontId="9" fillId="0" borderId="0" xfId="0" applyFont="1"/>
    <xf numFmtId="43" fontId="9" fillId="0" borderId="0" xfId="1" applyFont="1"/>
    <xf numFmtId="43" fontId="9" fillId="0" borderId="0" xfId="1" applyFont="1" applyAlignment="1"/>
    <xf numFmtId="43" fontId="18" fillId="0" borderId="0" xfId="1" applyFont="1"/>
    <xf numFmtId="0" fontId="42" fillId="0" borderId="0" xfId="9" applyFont="1" applyAlignment="1">
      <alignment vertical="center"/>
    </xf>
    <xf numFmtId="0" fontId="42" fillId="0" borderId="0" xfId="9" applyFont="1"/>
    <xf numFmtId="168" fontId="42" fillId="0" borderId="0" xfId="9" applyNumberFormat="1" applyFont="1" applyAlignment="1">
      <alignment horizontal="right" vertical="center" wrapText="1"/>
    </xf>
    <xf numFmtId="0" fontId="9" fillId="0" borderId="0" xfId="0" applyFont="1" applyAlignment="1">
      <alignment horizontal="center"/>
    </xf>
    <xf numFmtId="0" fontId="16"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vertical="center"/>
    </xf>
    <xf numFmtId="43" fontId="9" fillId="0" borderId="0" xfId="1" applyFont="1" applyAlignment="1">
      <alignment vertical="center"/>
    </xf>
    <xf numFmtId="0" fontId="9" fillId="0" borderId="0" xfId="0" quotePrefix="1" applyFont="1"/>
    <xf numFmtId="43" fontId="9" fillId="0" borderId="0" xfId="1" applyFont="1" applyFill="1" applyAlignment="1"/>
    <xf numFmtId="43" fontId="9" fillId="0" borderId="0" xfId="1" applyFont="1" applyFill="1"/>
    <xf numFmtId="0" fontId="39" fillId="0" borderId="0" xfId="10" applyFont="1"/>
    <xf numFmtId="0" fontId="49" fillId="0" borderId="0" xfId="0" applyFont="1" applyAlignment="1">
      <alignment horizontal="right"/>
    </xf>
    <xf numFmtId="39" fontId="49" fillId="0" borderId="0" xfId="0" applyNumberFormat="1" applyFont="1" applyAlignment="1">
      <alignment horizontal="center"/>
    </xf>
    <xf numFmtId="167" fontId="40" fillId="0" borderId="10" xfId="6" applyNumberFormat="1" applyFont="1" applyBorder="1" applyAlignment="1" applyProtection="1">
      <alignment vertical="center"/>
    </xf>
    <xf numFmtId="43" fontId="0" fillId="0" borderId="0" xfId="1" applyFont="1" applyAlignment="1">
      <alignment horizontal="center"/>
    </xf>
    <xf numFmtId="43" fontId="11" fillId="0" borderId="0" xfId="1" applyFont="1" applyAlignment="1">
      <alignment horizontal="center"/>
    </xf>
    <xf numFmtId="14" fontId="39" fillId="5" borderId="8" xfId="30" applyNumberFormat="1" applyFont="1" applyFill="1" applyBorder="1" applyAlignment="1">
      <alignment horizontal="center" vertical="center"/>
    </xf>
    <xf numFmtId="0" fontId="40" fillId="12" borderId="25" xfId="30" applyFont="1" applyFill="1" applyBorder="1" applyAlignment="1">
      <alignment vertical="center"/>
    </xf>
    <xf numFmtId="0" fontId="40" fillId="12" borderId="3" xfId="30" applyFont="1" applyFill="1" applyBorder="1" applyAlignment="1">
      <alignment vertical="center"/>
    </xf>
    <xf numFmtId="0" fontId="40" fillId="12" borderId="3" xfId="30" applyFont="1" applyFill="1" applyBorder="1" applyAlignment="1">
      <alignment horizontal="left" vertical="center"/>
    </xf>
    <xf numFmtId="166" fontId="40" fillId="12" borderId="23" xfId="30" applyNumberFormat="1" applyFont="1" applyFill="1" applyBorder="1" applyAlignment="1">
      <alignment vertical="center"/>
    </xf>
    <xf numFmtId="169" fontId="40" fillId="12" borderId="23" xfId="30" applyNumberFormat="1" applyFont="1" applyFill="1" applyBorder="1" applyAlignment="1">
      <alignment vertical="center"/>
    </xf>
    <xf numFmtId="0" fontId="52" fillId="0" borderId="0" xfId="30" applyFont="1" applyAlignment="1">
      <alignment vertical="center"/>
    </xf>
    <xf numFmtId="0" fontId="52" fillId="0" borderId="0" xfId="30" applyFont="1" applyAlignment="1">
      <alignment horizontal="left" vertical="center"/>
    </xf>
    <xf numFmtId="166" fontId="52" fillId="0" borderId="10" xfId="6" applyFont="1" applyBorder="1" applyAlignment="1" applyProtection="1">
      <alignment vertical="center"/>
    </xf>
    <xf numFmtId="168" fontId="40" fillId="0" borderId="10" xfId="4" applyNumberFormat="1" applyFont="1" applyBorder="1" applyAlignment="1" applyProtection="1">
      <alignment vertical="center"/>
    </xf>
    <xf numFmtId="166" fontId="52" fillId="5" borderId="10" xfId="6" applyFont="1" applyFill="1" applyBorder="1" applyAlignment="1" applyProtection="1">
      <alignment vertical="center"/>
    </xf>
    <xf numFmtId="168" fontId="40" fillId="5" borderId="10" xfId="4" applyNumberFormat="1" applyFont="1" applyFill="1" applyBorder="1" applyAlignment="1" applyProtection="1">
      <alignment vertical="center"/>
    </xf>
    <xf numFmtId="0" fontId="40" fillId="12" borderId="26" xfId="30" applyFont="1" applyFill="1" applyBorder="1" applyAlignment="1">
      <alignment vertical="center"/>
    </xf>
    <xf numFmtId="0" fontId="40" fillId="12" borderId="27" xfId="30" applyFont="1" applyFill="1" applyBorder="1" applyAlignment="1">
      <alignment vertical="center"/>
    </xf>
    <xf numFmtId="0" fontId="40" fillId="12" borderId="27" xfId="30" applyFont="1" applyFill="1" applyBorder="1" applyAlignment="1">
      <alignment horizontal="left" vertical="center"/>
    </xf>
    <xf numFmtId="167" fontId="40" fillId="12" borderId="28" xfId="6" applyNumberFormat="1" applyFont="1" applyFill="1" applyBorder="1" applyAlignment="1" applyProtection="1">
      <alignment vertical="center"/>
    </xf>
    <xf numFmtId="0" fontId="52" fillId="0" borderId="29" xfId="30" applyFont="1" applyBorder="1" applyAlignment="1">
      <alignment vertical="center"/>
    </xf>
    <xf numFmtId="0" fontId="52" fillId="0" borderId="29" xfId="30" applyFont="1" applyBorder="1" applyAlignment="1">
      <alignment horizontal="left" vertical="center"/>
    </xf>
    <xf numFmtId="166" fontId="52" fillId="5" borderId="30" xfId="6" applyFont="1" applyFill="1" applyBorder="1" applyAlignment="1" applyProtection="1">
      <alignment vertical="center"/>
    </xf>
    <xf numFmtId="0" fontId="40" fillId="13" borderId="11" xfId="30" applyFont="1" applyFill="1" applyBorder="1" applyAlignment="1">
      <alignment vertical="center"/>
    </xf>
    <xf numFmtId="0" fontId="40" fillId="13" borderId="12" xfId="30" applyFont="1" applyFill="1" applyBorder="1" applyAlignment="1">
      <alignment vertical="center"/>
    </xf>
    <xf numFmtId="0" fontId="40" fillId="13" borderId="12" xfId="30" applyFont="1" applyFill="1" applyBorder="1" applyAlignment="1">
      <alignment horizontal="left" vertical="center"/>
    </xf>
    <xf numFmtId="166" fontId="40" fillId="13" borderId="13" xfId="6" applyFont="1" applyFill="1" applyBorder="1" applyAlignment="1" applyProtection="1">
      <alignment vertical="center"/>
    </xf>
    <xf numFmtId="169" fontId="40" fillId="13" borderId="13" xfId="6" applyNumberFormat="1" applyFont="1" applyFill="1" applyBorder="1" applyAlignment="1" applyProtection="1">
      <alignment vertical="center"/>
    </xf>
    <xf numFmtId="167" fontId="40" fillId="13" borderId="13" xfId="6" applyNumberFormat="1" applyFont="1" applyFill="1" applyBorder="1" applyAlignment="1" applyProtection="1">
      <alignment vertical="center"/>
    </xf>
    <xf numFmtId="0" fontId="40" fillId="12" borderId="31" xfId="30" applyFont="1" applyFill="1" applyBorder="1" applyAlignment="1">
      <alignment vertical="center"/>
    </xf>
    <xf numFmtId="0" fontId="40" fillId="12" borderId="21" xfId="30" applyFont="1" applyFill="1" applyBorder="1" applyAlignment="1">
      <alignment vertical="center"/>
    </xf>
    <xf numFmtId="0" fontId="40" fillId="12" borderId="21" xfId="30" applyFont="1" applyFill="1" applyBorder="1" applyAlignment="1">
      <alignment horizontal="left" vertical="center"/>
    </xf>
    <xf numFmtId="167" fontId="40" fillId="12" borderId="24" xfId="6" applyNumberFormat="1" applyFont="1" applyFill="1" applyBorder="1" applyAlignment="1" applyProtection="1">
      <alignment vertical="center"/>
    </xf>
    <xf numFmtId="171" fontId="40" fillId="12" borderId="24" xfId="6" applyNumberFormat="1" applyFont="1" applyFill="1" applyBorder="1" applyAlignment="1" applyProtection="1">
      <alignment vertical="center"/>
    </xf>
    <xf numFmtId="14" fontId="39" fillId="11" borderId="14" xfId="30" applyNumberFormat="1" applyFont="1" applyFill="1" applyBorder="1" applyAlignment="1">
      <alignment horizontal="center" vertical="center"/>
    </xf>
    <xf numFmtId="0" fontId="52" fillId="0" borderId="10" xfId="30" applyFont="1" applyBorder="1" applyAlignment="1">
      <alignment vertical="center"/>
    </xf>
    <xf numFmtId="0" fontId="40" fillId="5" borderId="10" xfId="30" applyFont="1" applyFill="1" applyBorder="1" applyAlignment="1">
      <alignment vertical="center"/>
    </xf>
    <xf numFmtId="167" fontId="51" fillId="13" borderId="13" xfId="6" applyNumberFormat="1" applyFont="1" applyFill="1" applyBorder="1" applyAlignment="1" applyProtection="1">
      <alignment vertical="center"/>
    </xf>
    <xf numFmtId="166" fontId="52" fillId="0" borderId="0" xfId="6" applyFont="1" applyBorder="1" applyAlignment="1" applyProtection="1">
      <alignment vertical="center"/>
    </xf>
    <xf numFmtId="166" fontId="51" fillId="12" borderId="24" xfId="6" applyFont="1" applyFill="1" applyBorder="1" applyAlignment="1" applyProtection="1">
      <alignment vertical="center"/>
    </xf>
    <xf numFmtId="0" fontId="40" fillId="12" borderId="32" xfId="30" applyFont="1" applyFill="1" applyBorder="1" applyAlignment="1">
      <alignment vertical="center"/>
    </xf>
    <xf numFmtId="0" fontId="40" fillId="12" borderId="33" xfId="30" applyFont="1" applyFill="1" applyBorder="1" applyAlignment="1">
      <alignment vertical="center"/>
    </xf>
    <xf numFmtId="0" fontId="40" fillId="12" borderId="33" xfId="30" applyFont="1" applyFill="1" applyBorder="1" applyAlignment="1">
      <alignment horizontal="left" vertical="center"/>
    </xf>
    <xf numFmtId="166" fontId="40" fillId="12" borderId="34" xfId="30" applyNumberFormat="1" applyFont="1" applyFill="1" applyBorder="1" applyAlignment="1">
      <alignment vertical="center"/>
    </xf>
    <xf numFmtId="169" fontId="40" fillId="12" borderId="34" xfId="30" applyNumberFormat="1" applyFont="1" applyFill="1" applyBorder="1" applyAlignment="1">
      <alignment vertical="center"/>
    </xf>
    <xf numFmtId="168" fontId="40" fillId="12" borderId="23" xfId="30" applyNumberFormat="1" applyFont="1" applyFill="1" applyBorder="1" applyAlignment="1">
      <alignment vertical="center"/>
    </xf>
    <xf numFmtId="168" fontId="40" fillId="12" borderId="34" xfId="30" applyNumberFormat="1" applyFont="1" applyFill="1" applyBorder="1" applyAlignment="1">
      <alignment vertical="center"/>
    </xf>
    <xf numFmtId="0" fontId="17" fillId="0" borderId="0" xfId="5" applyFont="1" applyAlignment="1">
      <alignment horizontal="left"/>
    </xf>
    <xf numFmtId="170" fontId="54" fillId="11" borderId="9" xfId="30" applyNumberFormat="1" applyFont="1" applyFill="1" applyBorder="1" applyAlignment="1">
      <alignment horizontal="center" vertical="center"/>
    </xf>
    <xf numFmtId="14" fontId="39" fillId="11" borderId="15" xfId="30" applyNumberFormat="1" applyFont="1" applyFill="1" applyBorder="1" applyAlignment="1">
      <alignment horizontal="center" vertical="center"/>
    </xf>
    <xf numFmtId="170" fontId="54" fillId="11" borderId="16" xfId="30" applyNumberFormat="1" applyFont="1" applyFill="1" applyBorder="1" applyAlignment="1">
      <alignment horizontal="center" vertical="center"/>
    </xf>
    <xf numFmtId="14" fontId="39" fillId="11" borderId="10" xfId="30" applyNumberFormat="1" applyFont="1" applyFill="1" applyBorder="1" applyAlignment="1">
      <alignment horizontal="center" vertical="center"/>
    </xf>
    <xf numFmtId="0" fontId="51" fillId="5" borderId="0" xfId="30" applyFont="1" applyFill="1" applyAlignment="1">
      <alignment horizontal="right" vertical="center"/>
    </xf>
    <xf numFmtId="166" fontId="51" fillId="11" borderId="0" xfId="30" applyNumberFormat="1" applyFont="1" applyFill="1" applyAlignment="1">
      <alignment horizontal="right" vertical="center"/>
    </xf>
    <xf numFmtId="166" fontId="51" fillId="0" borderId="0" xfId="4" applyNumberFormat="1" applyFont="1" applyBorder="1" applyAlignment="1" applyProtection="1">
      <alignment horizontal="right" vertical="center"/>
    </xf>
    <xf numFmtId="166" fontId="40" fillId="0" borderId="10" xfId="6" applyFont="1" applyBorder="1" applyAlignment="1" applyProtection="1">
      <alignment vertical="center"/>
    </xf>
    <xf numFmtId="167" fontId="51" fillId="12" borderId="0" xfId="6" applyNumberFormat="1" applyFont="1" applyFill="1" applyBorder="1" applyAlignment="1" applyProtection="1">
      <alignment horizontal="right" vertical="center"/>
    </xf>
    <xf numFmtId="0" fontId="39" fillId="11" borderId="1" xfId="30" applyFont="1" applyFill="1" applyBorder="1" applyAlignment="1">
      <alignment vertical="center"/>
    </xf>
    <xf numFmtId="165" fontId="51" fillId="0" borderId="0" xfId="4" applyFont="1" applyBorder="1" applyAlignment="1" applyProtection="1">
      <alignment vertical="center"/>
    </xf>
    <xf numFmtId="0" fontId="53" fillId="5" borderId="0" xfId="30" applyFont="1" applyFill="1" applyAlignment="1">
      <alignment horizontal="right" vertical="center"/>
    </xf>
    <xf numFmtId="167" fontId="40" fillId="12" borderId="0" xfId="6" applyNumberFormat="1" applyFont="1" applyFill="1" applyBorder="1" applyAlignment="1" applyProtection="1">
      <alignment vertical="center"/>
    </xf>
    <xf numFmtId="171" fontId="40" fillId="12" borderId="10" xfId="6" applyNumberFormat="1" applyFont="1" applyFill="1" applyBorder="1" applyAlignment="1" applyProtection="1">
      <alignment vertical="center"/>
    </xf>
    <xf numFmtId="167" fontId="53" fillId="5" borderId="0" xfId="30" applyNumberFormat="1" applyFont="1" applyFill="1" applyAlignment="1">
      <alignment horizontal="right" vertical="center"/>
    </xf>
    <xf numFmtId="165" fontId="40" fillId="5" borderId="0" xfId="4" applyFont="1" applyFill="1" applyBorder="1" applyAlignment="1" applyProtection="1">
      <alignment vertical="center"/>
    </xf>
    <xf numFmtId="167" fontId="53" fillId="0" borderId="0" xfId="30" applyNumberFormat="1" applyFont="1" applyAlignment="1">
      <alignment horizontal="right" vertical="center"/>
    </xf>
    <xf numFmtId="0" fontId="39" fillId="11" borderId="0" xfId="30" applyFont="1" applyFill="1" applyAlignment="1">
      <alignment vertical="center"/>
    </xf>
    <xf numFmtId="171" fontId="39" fillId="11" borderId="18" xfId="6" applyNumberFormat="1" applyFont="1" applyFill="1" applyBorder="1" applyAlignment="1" applyProtection="1">
      <alignment vertical="center"/>
    </xf>
    <xf numFmtId="167" fontId="51" fillId="0" borderId="0" xfId="4" applyNumberFormat="1" applyFont="1" applyBorder="1" applyAlignment="1" applyProtection="1">
      <alignment horizontal="right" vertical="center"/>
    </xf>
    <xf numFmtId="167" fontId="58" fillId="0" borderId="0" xfId="6" applyNumberFormat="1" applyFont="1" applyBorder="1" applyAlignment="1" applyProtection="1">
      <alignment horizontal="right" vertical="center"/>
    </xf>
    <xf numFmtId="0" fontId="48" fillId="0" borderId="0" xfId="5" applyFont="1"/>
    <xf numFmtId="166" fontId="48" fillId="0" borderId="0" xfId="6" applyFont="1" applyBorder="1" applyProtection="1"/>
    <xf numFmtId="43" fontId="48" fillId="0" borderId="0" xfId="1" applyFont="1"/>
    <xf numFmtId="0" fontId="48" fillId="0" borderId="0" xfId="5" applyFont="1" applyAlignment="1">
      <alignment vertical="center"/>
    </xf>
    <xf numFmtId="166" fontId="48" fillId="0" borderId="0" xfId="6" applyFont="1" applyBorder="1" applyAlignment="1" applyProtection="1">
      <alignment vertical="center"/>
    </xf>
    <xf numFmtId="43" fontId="48" fillId="0" borderId="0" xfId="1" applyFont="1" applyAlignment="1">
      <alignment vertical="center"/>
    </xf>
    <xf numFmtId="43" fontId="60" fillId="0" borderId="0" xfId="10" applyNumberFormat="1" applyFont="1" applyAlignment="1">
      <alignment vertical="center"/>
    </xf>
    <xf numFmtId="0" fontId="60" fillId="0" borderId="0" xfId="10" applyFont="1" applyAlignment="1">
      <alignment vertical="center"/>
    </xf>
    <xf numFmtId="166" fontId="48" fillId="0" borderId="0" xfId="6" applyFont="1" applyBorder="1" applyAlignment="1" applyProtection="1">
      <alignment horizontal="right" vertical="center"/>
    </xf>
    <xf numFmtId="0" fontId="61" fillId="0" borderId="0" xfId="5" applyFont="1" applyAlignment="1">
      <alignment horizontal="right" vertical="center"/>
    </xf>
    <xf numFmtId="0" fontId="62" fillId="0" borderId="0" xfId="5" applyFont="1" applyAlignment="1">
      <alignment horizontal="right" vertical="center"/>
    </xf>
    <xf numFmtId="0" fontId="40" fillId="11" borderId="0" xfId="30" applyFont="1" applyFill="1" applyAlignment="1">
      <alignment horizontal="center" vertical="center"/>
    </xf>
    <xf numFmtId="0" fontId="39" fillId="11" borderId="0" xfId="30" applyFont="1" applyFill="1" applyAlignment="1">
      <alignment horizontal="center" vertical="center"/>
    </xf>
    <xf numFmtId="169" fontId="39" fillId="11" borderId="7" xfId="30" applyNumberFormat="1" applyFont="1" applyFill="1" applyBorder="1" applyAlignment="1">
      <alignment horizontal="right" vertical="center"/>
    </xf>
    <xf numFmtId="14" fontId="39" fillId="11" borderId="8" xfId="30" applyNumberFormat="1" applyFont="1" applyFill="1" applyBorder="1" applyAlignment="1">
      <alignment vertical="center"/>
    </xf>
    <xf numFmtId="14" fontId="39" fillId="11" borderId="8" xfId="30" applyNumberFormat="1" applyFont="1" applyFill="1" applyBorder="1" applyAlignment="1">
      <alignment horizontal="center" vertical="center"/>
    </xf>
    <xf numFmtId="169" fontId="39" fillId="11" borderId="0" xfId="30" applyNumberFormat="1" applyFont="1" applyFill="1" applyAlignment="1">
      <alignment horizontal="right" vertical="center"/>
    </xf>
    <xf numFmtId="0" fontId="40" fillId="5" borderId="0" xfId="30" applyFont="1" applyFill="1" applyAlignment="1">
      <alignment vertical="center"/>
    </xf>
    <xf numFmtId="49" fontId="40" fillId="5" borderId="0" xfId="30" applyNumberFormat="1" applyFont="1" applyFill="1" applyAlignment="1">
      <alignment vertical="center"/>
    </xf>
    <xf numFmtId="166" fontId="40" fillId="5" borderId="10" xfId="6" applyFont="1" applyFill="1" applyBorder="1" applyAlignment="1" applyProtection="1">
      <alignment vertical="center"/>
    </xf>
    <xf numFmtId="166" fontId="40" fillId="11" borderId="0" xfId="30" applyNumberFormat="1" applyFont="1" applyFill="1" applyAlignment="1">
      <alignment vertical="center"/>
    </xf>
    <xf numFmtId="169" fontId="40" fillId="11" borderId="10" xfId="30" applyNumberFormat="1" applyFont="1" applyFill="1" applyBorder="1" applyAlignment="1">
      <alignment vertical="center"/>
    </xf>
    <xf numFmtId="166" fontId="40" fillId="11" borderId="10" xfId="30" applyNumberFormat="1" applyFont="1" applyFill="1" applyBorder="1" applyAlignment="1">
      <alignment vertical="center"/>
    </xf>
    <xf numFmtId="0" fontId="48" fillId="0" borderId="0" xfId="30" applyFont="1" applyAlignment="1">
      <alignment vertical="center"/>
    </xf>
    <xf numFmtId="166" fontId="40" fillId="0" borderId="0" xfId="6" applyFont="1" applyBorder="1" applyAlignment="1" applyProtection="1">
      <alignment vertical="center"/>
    </xf>
    <xf numFmtId="166" fontId="48" fillId="0" borderId="0" xfId="5" applyNumberFormat="1" applyFont="1" applyAlignment="1">
      <alignment vertical="center"/>
    </xf>
    <xf numFmtId="168" fontId="60" fillId="0" borderId="10" xfId="4" applyNumberFormat="1" applyFont="1" applyBorder="1" applyAlignment="1" applyProtection="1">
      <alignment vertical="center"/>
    </xf>
    <xf numFmtId="166" fontId="48" fillId="0" borderId="10" xfId="6" applyFont="1" applyBorder="1" applyAlignment="1" applyProtection="1">
      <alignment vertical="center"/>
    </xf>
    <xf numFmtId="166" fontId="39" fillId="11" borderId="0" xfId="30" applyNumberFormat="1" applyFont="1" applyFill="1" applyAlignment="1">
      <alignment vertical="center"/>
    </xf>
    <xf numFmtId="169" fontId="39" fillId="11" borderId="18" xfId="30" applyNumberFormat="1" applyFont="1" applyFill="1" applyBorder="1" applyAlignment="1">
      <alignment vertical="center"/>
    </xf>
    <xf numFmtId="166" fontId="63" fillId="0" borderId="0" xfId="6" applyFont="1" applyBorder="1" applyAlignment="1" applyProtection="1">
      <alignment horizontal="right" vertical="center"/>
    </xf>
    <xf numFmtId="173" fontId="48" fillId="0" borderId="0" xfId="30" applyNumberFormat="1" applyFont="1" applyAlignment="1">
      <alignment vertical="center"/>
    </xf>
    <xf numFmtId="0" fontId="65" fillId="0" borderId="0" xfId="0" applyFont="1"/>
    <xf numFmtId="0" fontId="52" fillId="5" borderId="0" xfId="30" applyFont="1" applyFill="1" applyAlignment="1">
      <alignment vertical="center"/>
    </xf>
    <xf numFmtId="0" fontId="64" fillId="0" borderId="0" xfId="5" applyFont="1" applyAlignment="1">
      <alignment vertical="center"/>
    </xf>
    <xf numFmtId="167" fontId="52" fillId="5" borderId="0" xfId="30" applyNumberFormat="1" applyFont="1" applyFill="1" applyAlignment="1">
      <alignment vertical="center"/>
    </xf>
    <xf numFmtId="0" fontId="52" fillId="0" borderId="0" xfId="5" applyFont="1" applyAlignment="1">
      <alignment vertical="center"/>
    </xf>
    <xf numFmtId="167" fontId="66" fillId="0" borderId="0" xfId="4" applyNumberFormat="1" applyFont="1" applyBorder="1" applyAlignment="1" applyProtection="1">
      <alignment horizontal="right" vertical="center"/>
    </xf>
    <xf numFmtId="4" fontId="48" fillId="0" borderId="0" xfId="5" applyNumberFormat="1" applyFont="1" applyAlignment="1">
      <alignment vertical="center"/>
    </xf>
    <xf numFmtId="0" fontId="60" fillId="4" borderId="0" xfId="10" applyFont="1" applyFill="1" applyAlignment="1">
      <alignment vertical="center"/>
    </xf>
    <xf numFmtId="0" fontId="40" fillId="0" borderId="0" xfId="5" applyFont="1" applyAlignment="1">
      <alignment vertical="center"/>
    </xf>
    <xf numFmtId="0" fontId="60" fillId="0" borderId="0" xfId="5" applyFont="1" applyAlignment="1">
      <alignment vertical="center"/>
    </xf>
    <xf numFmtId="167" fontId="52" fillId="0" borderId="0" xfId="6" applyNumberFormat="1" applyFont="1" applyBorder="1" applyAlignment="1" applyProtection="1">
      <alignment vertical="center"/>
    </xf>
    <xf numFmtId="167" fontId="63" fillId="0" borderId="0" xfId="6" applyNumberFormat="1" applyFont="1" applyBorder="1" applyAlignment="1" applyProtection="1">
      <alignment horizontal="right" vertical="center"/>
    </xf>
    <xf numFmtId="0" fontId="67" fillId="0" borderId="0" xfId="5" applyFont="1" applyAlignment="1">
      <alignment horizontal="center"/>
    </xf>
    <xf numFmtId="0" fontId="59" fillId="0" borderId="0" xfId="5" applyFont="1" applyAlignment="1">
      <alignment vertical="center"/>
    </xf>
    <xf numFmtId="167" fontId="68" fillId="0" borderId="0" xfId="6" applyNumberFormat="1" applyFont="1" applyBorder="1" applyAlignment="1" applyProtection="1">
      <alignment vertical="center"/>
    </xf>
    <xf numFmtId="167" fontId="68" fillId="0" borderId="10" xfId="6" applyNumberFormat="1" applyFont="1" applyBorder="1" applyAlignment="1" applyProtection="1">
      <alignment vertical="center"/>
    </xf>
    <xf numFmtId="171" fontId="68" fillId="0" borderId="10" xfId="6" applyNumberFormat="1" applyFont="1" applyBorder="1" applyAlignment="1" applyProtection="1">
      <alignment vertical="center"/>
    </xf>
    <xf numFmtId="0" fontId="52" fillId="4" borderId="0" xfId="30" applyFont="1" applyFill="1" applyAlignment="1">
      <alignment vertical="center"/>
    </xf>
    <xf numFmtId="0" fontId="40" fillId="4" borderId="0" xfId="30" applyFont="1" applyFill="1" applyAlignment="1">
      <alignment vertical="center"/>
    </xf>
    <xf numFmtId="0" fontId="40" fillId="0" borderId="0" xfId="30" applyFont="1" applyAlignment="1">
      <alignment vertical="center"/>
    </xf>
    <xf numFmtId="0" fontId="48" fillId="0" borderId="0" xfId="6" applyNumberFormat="1" applyFont="1" applyBorder="1" applyAlignment="1" applyProtection="1">
      <alignment vertical="center"/>
    </xf>
    <xf numFmtId="167" fontId="40" fillId="0" borderId="0" xfId="6" applyNumberFormat="1" applyFont="1" applyBorder="1" applyAlignment="1" applyProtection="1">
      <alignment vertical="center"/>
    </xf>
    <xf numFmtId="167" fontId="48" fillId="0" borderId="0" xfId="6" applyNumberFormat="1" applyFont="1" applyBorder="1" applyProtection="1"/>
    <xf numFmtId="167" fontId="53" fillId="0" borderId="0" xfId="6" applyNumberFormat="1" applyFont="1" applyBorder="1" applyAlignment="1" applyProtection="1">
      <alignment horizontal="right"/>
    </xf>
    <xf numFmtId="167" fontId="53" fillId="0" borderId="0" xfId="6" applyNumberFormat="1" applyFont="1" applyBorder="1" applyProtection="1"/>
    <xf numFmtId="0" fontId="67" fillId="0" borderId="0" xfId="5" applyFont="1"/>
    <xf numFmtId="0" fontId="62" fillId="0" borderId="0" xfId="5" applyFont="1" applyAlignment="1">
      <alignment horizontal="right"/>
    </xf>
    <xf numFmtId="0" fontId="63" fillId="0" borderId="0" xfId="5" applyFont="1" applyAlignment="1">
      <alignment horizontal="right"/>
    </xf>
    <xf numFmtId="167" fontId="48" fillId="0" borderId="0" xfId="6" applyNumberFormat="1" applyFont="1" applyBorder="1" applyAlignment="1" applyProtection="1">
      <alignment horizontal="right"/>
    </xf>
    <xf numFmtId="4" fontId="48" fillId="0" borderId="0" xfId="5" applyNumberFormat="1" applyFont="1"/>
    <xf numFmtId="43" fontId="48" fillId="0" borderId="0" xfId="5" applyNumberFormat="1" applyFont="1"/>
    <xf numFmtId="0" fontId="48" fillId="0" borderId="0" xfId="5" applyFont="1" applyAlignment="1">
      <alignment horizontal="right"/>
    </xf>
    <xf numFmtId="10" fontId="65" fillId="0" borderId="0" xfId="24" applyNumberFormat="1" applyFont="1"/>
    <xf numFmtId="10" fontId="48" fillId="0" borderId="0" xfId="24" applyNumberFormat="1" applyFont="1" applyBorder="1" applyAlignment="1" applyProtection="1"/>
    <xf numFmtId="166" fontId="48" fillId="0" borderId="0" xfId="6" applyFont="1" applyBorder="1" applyAlignment="1" applyProtection="1">
      <alignment horizontal="right"/>
    </xf>
    <xf numFmtId="0" fontId="48" fillId="0" borderId="0" xfId="10" applyFont="1"/>
    <xf numFmtId="165" fontId="60" fillId="0" borderId="0" xfId="4" applyFont="1" applyBorder="1" applyProtection="1"/>
    <xf numFmtId="0" fontId="60" fillId="0" borderId="0" xfId="10" applyFont="1"/>
    <xf numFmtId="172" fontId="60" fillId="0" borderId="0" xfId="10" applyNumberFormat="1" applyFont="1"/>
    <xf numFmtId="0" fontId="60" fillId="0" borderId="0" xfId="10" applyFont="1" applyAlignment="1">
      <alignment horizontal="center" vertical="center"/>
    </xf>
    <xf numFmtId="165" fontId="60" fillId="0" borderId="0" xfId="4" applyFont="1" applyBorder="1" applyAlignment="1" applyProtection="1">
      <alignment horizontal="center" vertical="center"/>
    </xf>
    <xf numFmtId="0" fontId="48" fillId="0" borderId="0" xfId="10" applyFont="1" applyAlignment="1">
      <alignment vertical="center"/>
    </xf>
    <xf numFmtId="0" fontId="69" fillId="0" borderId="0" xfId="10" applyFont="1" applyAlignment="1">
      <alignment vertical="center"/>
    </xf>
    <xf numFmtId="0" fontId="40" fillId="0" borderId="0" xfId="10" applyFont="1" applyAlignment="1">
      <alignment vertical="center"/>
    </xf>
    <xf numFmtId="168" fontId="40" fillId="0" borderId="0" xfId="4" applyNumberFormat="1" applyFont="1" applyBorder="1" applyAlignment="1" applyProtection="1">
      <alignment horizontal="center" vertical="center"/>
    </xf>
    <xf numFmtId="168" fontId="40" fillId="0" borderId="10" xfId="4" applyNumberFormat="1" applyFont="1" applyBorder="1" applyAlignment="1" applyProtection="1">
      <alignment horizontal="center" vertical="center"/>
    </xf>
    <xf numFmtId="0" fontId="40" fillId="4" borderId="0" xfId="10" applyFont="1" applyFill="1" applyAlignment="1">
      <alignment vertical="center"/>
    </xf>
    <xf numFmtId="168" fontId="40" fillId="4" borderId="0" xfId="4" applyNumberFormat="1" applyFont="1" applyFill="1" applyBorder="1" applyAlignment="1" applyProtection="1">
      <alignment horizontal="center" vertical="center"/>
    </xf>
    <xf numFmtId="168" fontId="40" fillId="4" borderId="10" xfId="4" applyNumberFormat="1" applyFont="1" applyFill="1" applyBorder="1" applyAlignment="1" applyProtection="1">
      <alignment horizontal="center" vertical="center"/>
    </xf>
    <xf numFmtId="0" fontId="40" fillId="6" borderId="0" xfId="10" applyFont="1" applyFill="1" applyAlignment="1">
      <alignment vertical="center"/>
    </xf>
    <xf numFmtId="168" fontId="40" fillId="6" borderId="10" xfId="4" applyNumberFormat="1" applyFont="1" applyFill="1" applyBorder="1" applyAlignment="1" applyProtection="1">
      <alignment horizontal="center" vertical="center"/>
    </xf>
    <xf numFmtId="0" fontId="70" fillId="4" borderId="0" xfId="10" applyFont="1" applyFill="1" applyAlignment="1">
      <alignment vertical="center"/>
    </xf>
    <xf numFmtId="168" fontId="39" fillId="4" borderId="1" xfId="4" applyNumberFormat="1" applyFont="1" applyFill="1" applyBorder="1" applyAlignment="1" applyProtection="1">
      <alignment horizontal="center" vertical="center"/>
    </xf>
    <xf numFmtId="168" fontId="39" fillId="4" borderId="18" xfId="4" applyNumberFormat="1" applyFont="1" applyFill="1" applyBorder="1" applyAlignment="1" applyProtection="1">
      <alignment horizontal="center" vertical="center"/>
    </xf>
    <xf numFmtId="0" fontId="74" fillId="4" borderId="0" xfId="10" applyFont="1" applyFill="1" applyAlignment="1">
      <alignment vertical="center"/>
    </xf>
    <xf numFmtId="165" fontId="69" fillId="4" borderId="0" xfId="4" applyFont="1" applyFill="1" applyBorder="1" applyAlignment="1" applyProtection="1">
      <alignment horizontal="center" vertical="center"/>
    </xf>
    <xf numFmtId="165" fontId="69" fillId="4" borderId="10" xfId="4" applyFont="1" applyFill="1" applyBorder="1" applyAlignment="1" applyProtection="1">
      <alignment horizontal="center" vertical="center"/>
    </xf>
    <xf numFmtId="0" fontId="39" fillId="4" borderId="0" xfId="10" applyFont="1" applyFill="1" applyAlignment="1">
      <alignment vertical="center"/>
    </xf>
    <xf numFmtId="165" fontId="40" fillId="4" borderId="0" xfId="4" applyFont="1" applyFill="1" applyBorder="1" applyAlignment="1" applyProtection="1">
      <alignment horizontal="center" vertical="center"/>
    </xf>
    <xf numFmtId="165" fontId="40" fillId="4" borderId="10" xfId="4" applyFont="1" applyFill="1" applyBorder="1" applyAlignment="1" applyProtection="1">
      <alignment horizontal="center" vertical="center"/>
    </xf>
    <xf numFmtId="0" fontId="40" fillId="4" borderId="0" xfId="10" applyFont="1" applyFill="1" applyAlignment="1">
      <alignment horizontal="left" vertical="center"/>
    </xf>
    <xf numFmtId="165" fontId="39" fillId="4" borderId="0" xfId="4" applyFont="1" applyFill="1" applyBorder="1" applyAlignment="1" applyProtection="1">
      <alignment horizontal="center" vertical="center"/>
    </xf>
    <xf numFmtId="165" fontId="39" fillId="4" borderId="10" xfId="4" applyFont="1" applyFill="1" applyBorder="1" applyAlignment="1" applyProtection="1">
      <alignment horizontal="center" vertical="center"/>
    </xf>
    <xf numFmtId="168" fontId="40" fillId="4" borderId="0" xfId="10" applyNumberFormat="1" applyFont="1" applyFill="1" applyAlignment="1">
      <alignment vertical="center"/>
    </xf>
    <xf numFmtId="168" fontId="59" fillId="0" borderId="1" xfId="4" applyNumberFormat="1" applyFont="1" applyBorder="1" applyAlignment="1" applyProtection="1">
      <alignment horizontal="center" vertical="center"/>
    </xf>
    <xf numFmtId="168" fontId="59" fillId="0" borderId="18" xfId="4" applyNumberFormat="1" applyFont="1" applyBorder="1" applyAlignment="1" applyProtection="1">
      <alignment horizontal="center" vertical="center"/>
    </xf>
    <xf numFmtId="0" fontId="60" fillId="0" borderId="10" xfId="10" applyFont="1" applyBorder="1" applyAlignment="1">
      <alignment horizontal="center" vertical="center"/>
    </xf>
    <xf numFmtId="0" fontId="74" fillId="0" borderId="0" xfId="10" applyFont="1" applyAlignment="1">
      <alignment vertical="center"/>
    </xf>
    <xf numFmtId="165" fontId="69" fillId="0" borderId="0" xfId="4" applyFont="1" applyBorder="1" applyAlignment="1" applyProtection="1">
      <alignment horizontal="center" vertical="center"/>
    </xf>
    <xf numFmtId="165" fontId="69" fillId="0" borderId="10" xfId="4" applyFont="1" applyBorder="1" applyAlignment="1" applyProtection="1">
      <alignment horizontal="center" vertical="center"/>
    </xf>
    <xf numFmtId="0" fontId="61" fillId="0" borderId="0" xfId="10" applyFont="1" applyAlignment="1">
      <alignment vertical="center"/>
    </xf>
    <xf numFmtId="0" fontId="75" fillId="0" borderId="0" xfId="10" applyFont="1"/>
    <xf numFmtId="0" fontId="71" fillId="0" borderId="0" xfId="10" applyFont="1"/>
    <xf numFmtId="0" fontId="27" fillId="12" borderId="0" xfId="10" applyFont="1" applyFill="1" applyAlignment="1">
      <alignment horizontal="center" vertical="center"/>
    </xf>
    <xf numFmtId="0" fontId="32" fillId="11" borderId="0" xfId="30" applyFont="1" applyFill="1" applyAlignment="1">
      <alignment horizontal="center" vertical="center"/>
    </xf>
    <xf numFmtId="0" fontId="32" fillId="5" borderId="0" xfId="10" applyFont="1" applyFill="1" applyAlignment="1">
      <alignment vertical="center"/>
    </xf>
    <xf numFmtId="0" fontId="32" fillId="5" borderId="10" xfId="10" applyFont="1" applyFill="1" applyBorder="1" applyAlignment="1">
      <alignment vertical="center"/>
    </xf>
    <xf numFmtId="0" fontId="27" fillId="12" borderId="1" xfId="10" applyFont="1" applyFill="1" applyBorder="1" applyAlignment="1">
      <alignment horizontal="left" vertical="center"/>
    </xf>
    <xf numFmtId="172" fontId="32" fillId="12" borderId="0" xfId="10" applyNumberFormat="1" applyFont="1" applyFill="1" applyAlignment="1">
      <alignment vertical="center"/>
    </xf>
    <xf numFmtId="168" fontId="39" fillId="12" borderId="18" xfId="30" applyNumberFormat="1" applyFont="1" applyFill="1" applyBorder="1" applyAlignment="1">
      <alignment vertical="center"/>
    </xf>
    <xf numFmtId="169" fontId="39" fillId="12" borderId="18" xfId="30" applyNumberFormat="1" applyFont="1" applyFill="1" applyBorder="1" applyAlignment="1">
      <alignment vertical="center"/>
    </xf>
    <xf numFmtId="0" fontId="32" fillId="5" borderId="0" xfId="10" applyFont="1" applyFill="1" applyAlignment="1">
      <alignment horizontal="left" vertical="center"/>
    </xf>
    <xf numFmtId="172" fontId="18" fillId="5" borderId="0" xfId="10" applyNumberFormat="1" applyFont="1" applyFill="1" applyAlignment="1">
      <alignment vertical="center"/>
    </xf>
    <xf numFmtId="168" fontId="32" fillId="5" borderId="0" xfId="4" applyNumberFormat="1" applyFont="1" applyFill="1" applyBorder="1" applyAlignment="1" applyProtection="1">
      <alignment horizontal="center" vertical="center"/>
    </xf>
    <xf numFmtId="168" fontId="32" fillId="5" borderId="10" xfId="4" applyNumberFormat="1" applyFont="1" applyFill="1" applyBorder="1" applyAlignment="1" applyProtection="1">
      <alignment horizontal="center" vertical="center"/>
    </xf>
    <xf numFmtId="168" fontId="40" fillId="5" borderId="0" xfId="4" applyNumberFormat="1" applyFont="1" applyFill="1" applyBorder="1" applyAlignment="1" applyProtection="1">
      <alignment horizontal="center" vertical="center"/>
    </xf>
    <xf numFmtId="0" fontId="76" fillId="0" borderId="0" xfId="10" applyFont="1" applyAlignment="1">
      <alignment vertical="center"/>
    </xf>
    <xf numFmtId="165" fontId="73" fillId="0" borderId="0" xfId="4" applyFont="1" applyBorder="1" applyAlignment="1" applyProtection="1">
      <alignment horizontal="center" vertical="center"/>
    </xf>
    <xf numFmtId="165" fontId="73" fillId="0" borderId="10" xfId="4" applyFont="1" applyBorder="1" applyAlignment="1" applyProtection="1">
      <alignment horizontal="center" vertical="center"/>
    </xf>
    <xf numFmtId="172" fontId="55" fillId="12" borderId="0" xfId="10" applyNumberFormat="1" applyFont="1" applyFill="1" applyAlignment="1">
      <alignment vertical="center"/>
    </xf>
    <xf numFmtId="168" fontId="27" fillId="12" borderId="1" xfId="4" applyNumberFormat="1" applyFont="1" applyFill="1" applyBorder="1" applyAlignment="1" applyProtection="1">
      <alignment horizontal="center" vertical="center"/>
    </xf>
    <xf numFmtId="168" fontId="27" fillId="12" borderId="18" xfId="4" applyNumberFormat="1" applyFont="1" applyFill="1" applyBorder="1" applyAlignment="1" applyProtection="1">
      <alignment horizontal="center" vertical="center"/>
    </xf>
    <xf numFmtId="0" fontId="56" fillId="0" borderId="0" xfId="10" applyFont="1" applyAlignment="1">
      <alignment vertical="center"/>
    </xf>
    <xf numFmtId="165" fontId="56" fillId="0" borderId="10" xfId="4" applyFont="1" applyBorder="1" applyAlignment="1" applyProtection="1">
      <alignment horizontal="center" vertical="center"/>
    </xf>
    <xf numFmtId="165" fontId="56" fillId="0" borderId="0" xfId="4" applyFont="1" applyBorder="1" applyAlignment="1" applyProtection="1">
      <alignment horizontal="center" vertical="center"/>
    </xf>
    <xf numFmtId="0" fontId="39" fillId="11" borderId="21" xfId="10" applyFont="1" applyFill="1" applyBorder="1" applyAlignment="1">
      <alignment vertical="center"/>
    </xf>
    <xf numFmtId="168" fontId="39" fillId="11" borderId="21" xfId="4" applyNumberFormat="1" applyFont="1" applyFill="1" applyBorder="1" applyAlignment="1" applyProtection="1">
      <alignment horizontal="center" vertical="center"/>
    </xf>
    <xf numFmtId="168" fontId="39" fillId="11" borderId="24" xfId="4" applyNumberFormat="1" applyFont="1" applyFill="1" applyBorder="1" applyAlignment="1" applyProtection="1">
      <alignment horizontal="center" vertical="center"/>
    </xf>
    <xf numFmtId="0" fontId="28" fillId="0" borderId="0" xfId="10" applyFont="1" applyAlignment="1">
      <alignment horizontal="left" vertical="center"/>
    </xf>
    <xf numFmtId="0" fontId="57" fillId="0" borderId="0" xfId="10" applyFont="1" applyAlignment="1">
      <alignment vertical="center"/>
    </xf>
    <xf numFmtId="165" fontId="57" fillId="0" borderId="0" xfId="4" applyFont="1" applyBorder="1" applyAlignment="1" applyProtection="1">
      <alignment horizontal="center" vertical="center"/>
    </xf>
    <xf numFmtId="0" fontId="18" fillId="5" borderId="0" xfId="10" applyFont="1" applyFill="1"/>
    <xf numFmtId="0" fontId="24" fillId="0" borderId="0" xfId="30" applyFont="1" applyAlignment="1">
      <alignment horizontal="right" vertical="center"/>
    </xf>
    <xf numFmtId="0" fontId="27" fillId="11" borderId="0" xfId="10" applyFont="1" applyFill="1" applyAlignment="1">
      <alignment vertical="center"/>
    </xf>
    <xf numFmtId="170" fontId="32" fillId="11" borderId="0" xfId="30" applyNumberFormat="1" applyFont="1" applyFill="1" applyAlignment="1">
      <alignment horizontal="right" vertical="center"/>
    </xf>
    <xf numFmtId="14" fontId="77" fillId="11" borderId="9" xfId="30" applyNumberFormat="1" applyFont="1" applyFill="1" applyBorder="1" applyAlignment="1">
      <alignment horizontal="right" vertical="center"/>
    </xf>
    <xf numFmtId="0" fontId="18" fillId="6" borderId="0" xfId="12" applyFont="1" applyFill="1" applyAlignment="1">
      <alignment vertical="center"/>
    </xf>
    <xf numFmtId="0" fontId="79" fillId="6" borderId="0" xfId="12" applyFont="1" applyFill="1" applyAlignment="1">
      <alignment vertical="center"/>
    </xf>
    <xf numFmtId="0" fontId="32" fillId="6" borderId="0" xfId="12" applyFont="1" applyFill="1" applyAlignment="1">
      <alignment horizontal="center" vertical="center" wrapText="1"/>
    </xf>
    <xf numFmtId="0" fontId="32" fillId="6" borderId="10" xfId="12" applyFont="1" applyFill="1" applyBorder="1" applyAlignment="1">
      <alignment horizontal="center" vertical="center" wrapText="1"/>
    </xf>
    <xf numFmtId="167" fontId="40" fillId="5" borderId="0" xfId="6" applyNumberFormat="1" applyFont="1" applyFill="1" applyBorder="1" applyAlignment="1" applyProtection="1">
      <alignment vertical="center"/>
    </xf>
    <xf numFmtId="168" fontId="40" fillId="5" borderId="10" xfId="14" applyNumberFormat="1" applyFont="1" applyFill="1" applyBorder="1" applyAlignment="1" applyProtection="1">
      <alignment vertical="center"/>
    </xf>
    <xf numFmtId="0" fontId="27" fillId="11" borderId="20" xfId="10" applyFont="1" applyFill="1" applyBorder="1" applyAlignment="1">
      <alignment horizontal="center" vertical="center" wrapText="1"/>
    </xf>
    <xf numFmtId="0" fontId="18" fillId="5" borderId="0" xfId="10" applyFont="1" applyFill="1" applyAlignment="1">
      <alignment vertical="center"/>
    </xf>
    <xf numFmtId="0" fontId="32" fillId="5" borderId="0" xfId="10" applyFont="1" applyFill="1" applyAlignment="1">
      <alignment horizontal="center" vertical="center"/>
    </xf>
    <xf numFmtId="172" fontId="32" fillId="5" borderId="0" xfId="10" applyNumberFormat="1" applyFont="1" applyFill="1" applyAlignment="1">
      <alignment horizontal="center" vertical="center"/>
    </xf>
    <xf numFmtId="0" fontId="46" fillId="5" borderId="10" xfId="15" applyFont="1" applyFill="1" applyBorder="1" applyAlignment="1">
      <alignment horizontal="right" vertical="center"/>
    </xf>
    <xf numFmtId="49" fontId="27" fillId="11" borderId="0" xfId="30" applyNumberFormat="1" applyFont="1" applyFill="1" applyAlignment="1">
      <alignment vertical="center"/>
    </xf>
    <xf numFmtId="0" fontId="27" fillId="11" borderId="20" xfId="10" applyFont="1" applyFill="1" applyBorder="1" applyAlignment="1">
      <alignment horizontal="center" vertical="center"/>
    </xf>
    <xf numFmtId="0" fontId="27" fillId="11" borderId="10" xfId="10" applyFont="1" applyFill="1" applyBorder="1" applyAlignment="1">
      <alignment horizontal="center" vertical="center" wrapText="1"/>
    </xf>
    <xf numFmtId="172" fontId="27" fillId="11" borderId="0" xfId="10" applyNumberFormat="1" applyFont="1" applyFill="1" applyAlignment="1">
      <alignment horizontal="center" vertical="center" wrapText="1"/>
    </xf>
    <xf numFmtId="0" fontId="27" fillId="11" borderId="0" xfId="10" applyFont="1" applyFill="1" applyAlignment="1">
      <alignment horizontal="center" vertical="center"/>
    </xf>
    <xf numFmtId="0" fontId="18" fillId="5" borderId="20" xfId="10" applyFont="1" applyFill="1" applyBorder="1"/>
    <xf numFmtId="172" fontId="18" fillId="5" borderId="0" xfId="10" applyNumberFormat="1" applyFont="1" applyFill="1"/>
    <xf numFmtId="165" fontId="27" fillId="13" borderId="21" xfId="16" applyFont="1" applyFill="1" applyBorder="1" applyProtection="1"/>
    <xf numFmtId="168" fontId="27" fillId="13" borderId="22" xfId="16" applyNumberFormat="1" applyFont="1" applyFill="1" applyBorder="1" applyProtection="1"/>
    <xf numFmtId="168" fontId="27" fillId="13" borderId="21" xfId="16" applyNumberFormat="1" applyFont="1" applyFill="1" applyBorder="1" applyProtection="1"/>
    <xf numFmtId="168" fontId="82" fillId="0" borderId="20" xfId="16" applyNumberFormat="1" applyFont="1" applyBorder="1" applyProtection="1"/>
    <xf numFmtId="168" fontId="82" fillId="0" borderId="0" xfId="16" applyNumberFormat="1" applyFont="1" applyBorder="1" applyProtection="1"/>
    <xf numFmtId="168" fontId="78" fillId="0" borderId="20" xfId="16" applyNumberFormat="1" applyFont="1" applyBorder="1" applyProtection="1"/>
    <xf numFmtId="168" fontId="78" fillId="0" borderId="0" xfId="16" applyNumberFormat="1" applyFont="1" applyBorder="1" applyProtection="1"/>
    <xf numFmtId="0" fontId="39" fillId="5" borderId="0" xfId="10" applyFont="1" applyFill="1"/>
    <xf numFmtId="0" fontId="28" fillId="5" borderId="20" xfId="10" applyFont="1" applyFill="1" applyBorder="1" applyAlignment="1">
      <alignment horizontal="center"/>
    </xf>
    <xf numFmtId="168" fontId="78" fillId="5" borderId="20" xfId="16" applyNumberFormat="1" applyFont="1" applyFill="1" applyBorder="1" applyProtection="1"/>
    <xf numFmtId="168" fontId="78" fillId="5" borderId="0" xfId="16" applyNumberFormat="1" applyFont="1" applyFill="1" applyBorder="1" applyProtection="1"/>
    <xf numFmtId="165" fontId="83" fillId="0" borderId="20" xfId="16" applyFont="1" applyBorder="1" applyProtection="1"/>
    <xf numFmtId="165" fontId="83" fillId="0" borderId="0" xfId="16" applyFont="1" applyBorder="1" applyProtection="1"/>
    <xf numFmtId="0" fontId="18" fillId="15" borderId="0" xfId="10" applyFont="1" applyFill="1"/>
    <xf numFmtId="43" fontId="33" fillId="0" borderId="0" xfId="1" applyFont="1"/>
    <xf numFmtId="0" fontId="47" fillId="14" borderId="20" xfId="10" applyFont="1" applyFill="1" applyBorder="1" applyAlignment="1">
      <alignment horizontal="center" vertical="center"/>
    </xf>
    <xf numFmtId="0" fontId="47" fillId="14" borderId="10" xfId="10" applyFont="1" applyFill="1" applyBorder="1" applyAlignment="1">
      <alignment horizontal="center" vertical="center" wrapText="1"/>
    </xf>
    <xf numFmtId="0" fontId="47" fillId="14" borderId="20" xfId="10" applyFont="1" applyFill="1" applyBorder="1" applyAlignment="1">
      <alignment horizontal="center" vertical="center" wrapText="1"/>
    </xf>
    <xf numFmtId="172" fontId="47" fillId="14" borderId="0" xfId="10" applyNumberFormat="1" applyFont="1" applyFill="1" applyAlignment="1">
      <alignment horizontal="center" vertical="center" wrapText="1"/>
    </xf>
    <xf numFmtId="0" fontId="47" fillId="14" borderId="0" xfId="10" applyFont="1" applyFill="1" applyAlignment="1">
      <alignment horizontal="center" vertical="center"/>
    </xf>
    <xf numFmtId="0" fontId="40" fillId="11" borderId="0" xfId="30" applyFont="1" applyFill="1" applyAlignment="1">
      <alignment vertical="center"/>
    </xf>
    <xf numFmtId="0" fontId="40" fillId="12" borderId="0" xfId="30" applyFont="1" applyFill="1" applyAlignment="1">
      <alignment vertical="center"/>
    </xf>
    <xf numFmtId="43" fontId="34" fillId="0" borderId="0" xfId="1" applyFont="1" applyBorder="1"/>
    <xf numFmtId="0" fontId="84" fillId="0" borderId="0" xfId="0" applyFont="1"/>
    <xf numFmtId="3" fontId="34" fillId="4" borderId="2" xfId="9" applyNumberFormat="1" applyFont="1" applyFill="1" applyBorder="1" applyAlignment="1">
      <alignment horizontal="right" vertical="center" wrapText="1"/>
    </xf>
    <xf numFmtId="0" fontId="45" fillId="5" borderId="0" xfId="9" applyFont="1" applyFill="1" applyAlignment="1">
      <alignment vertical="center"/>
    </xf>
    <xf numFmtId="3" fontId="45" fillId="6" borderId="0" xfId="9" applyNumberFormat="1" applyFont="1" applyFill="1" applyAlignment="1">
      <alignment horizontal="right" vertical="center" wrapText="1"/>
    </xf>
    <xf numFmtId="0" fontId="45" fillId="5" borderId="0" xfId="9" applyFont="1" applyFill="1"/>
    <xf numFmtId="3" fontId="45" fillId="5" borderId="0" xfId="9" applyNumberFormat="1" applyFont="1" applyFill="1" applyAlignment="1">
      <alignment horizontal="right" vertical="center"/>
    </xf>
    <xf numFmtId="0" fontId="45" fillId="5" borderId="0" xfId="9" applyFont="1" applyFill="1" applyAlignment="1">
      <alignment horizontal="left" vertical="center"/>
    </xf>
    <xf numFmtId="0" fontId="45" fillId="5" borderId="0" xfId="9" applyFont="1" applyFill="1" applyAlignment="1">
      <alignment horizontal="right" vertical="center" wrapText="1"/>
    </xf>
    <xf numFmtId="0" fontId="17" fillId="0" borderId="0" xfId="9" applyFont="1" applyAlignment="1">
      <alignment horizontal="center"/>
    </xf>
    <xf numFmtId="0" fontId="45" fillId="16" borderId="1" xfId="9" applyFont="1" applyFill="1" applyBorder="1" applyAlignment="1">
      <alignment horizontal="center" vertical="center"/>
    </xf>
    <xf numFmtId="168" fontId="45" fillId="6" borderId="0" xfId="44" applyNumberFormat="1" applyFont="1" applyFill="1" applyBorder="1" applyAlignment="1" applyProtection="1">
      <alignment horizontal="right" vertical="center" wrapText="1"/>
    </xf>
    <xf numFmtId="0" fontId="45" fillId="5" borderId="0" xfId="9" applyFont="1" applyFill="1" applyAlignment="1">
      <alignment vertical="center" wrapText="1"/>
    </xf>
    <xf numFmtId="41" fontId="45" fillId="6" borderId="0" xfId="9" applyNumberFormat="1" applyFont="1" applyFill="1" applyAlignment="1">
      <alignment horizontal="right" vertical="center" wrapText="1"/>
    </xf>
    <xf numFmtId="17" fontId="45" fillId="16" borderId="1" xfId="9" applyNumberFormat="1" applyFont="1" applyFill="1" applyBorder="1" applyAlignment="1">
      <alignment horizontal="center" vertical="center"/>
    </xf>
    <xf numFmtId="3" fontId="42" fillId="4" borderId="0" xfId="9" applyNumberFormat="1" applyFont="1" applyFill="1" applyAlignment="1">
      <alignment horizontal="right" vertical="center" wrapText="1"/>
    </xf>
    <xf numFmtId="0" fontId="42" fillId="0" borderId="0" xfId="9" applyFont="1" applyAlignment="1">
      <alignment horizontal="right" vertical="center" wrapText="1"/>
    </xf>
    <xf numFmtId="171" fontId="42" fillId="0" borderId="0" xfId="0" applyNumberFormat="1" applyFont="1" applyAlignment="1">
      <alignment horizontal="right" vertical="center"/>
    </xf>
    <xf numFmtId="0" fontId="38" fillId="0" borderId="0" xfId="9" applyFont="1" applyAlignment="1">
      <alignment horizontal="center" vertical="center" wrapText="1"/>
    </xf>
    <xf numFmtId="174" fontId="42" fillId="4" borderId="0" xfId="9" applyNumberFormat="1" applyFont="1" applyFill="1" applyAlignment="1">
      <alignment horizontal="right" vertical="center" wrapText="1"/>
    </xf>
    <xf numFmtId="0" fontId="45" fillId="16" borderId="3" xfId="9" applyFont="1" applyFill="1" applyBorder="1" applyAlignment="1">
      <alignment horizontal="center" vertical="center"/>
    </xf>
    <xf numFmtId="43" fontId="42" fillId="0" borderId="0" xfId="1" applyFont="1" applyBorder="1"/>
    <xf numFmtId="0" fontId="45" fillId="16" borderId="2" xfId="9" applyFont="1" applyFill="1" applyBorder="1" applyAlignment="1">
      <alignment horizontal="center" vertical="center"/>
    </xf>
    <xf numFmtId="17" fontId="45" fillId="16" borderId="3" xfId="9" applyNumberFormat="1" applyFont="1" applyFill="1" applyBorder="1" applyAlignment="1">
      <alignment horizontal="center" vertical="center"/>
    </xf>
    <xf numFmtId="168" fontId="34" fillId="4" borderId="0" xfId="9" applyNumberFormat="1" applyFont="1" applyFill="1" applyAlignment="1">
      <alignment horizontal="right" vertical="center" wrapText="1"/>
    </xf>
    <xf numFmtId="169" fontId="42" fillId="4" borderId="0" xfId="45" applyNumberFormat="1" applyFont="1" applyFill="1" applyBorder="1" applyAlignment="1" applyProtection="1">
      <alignment horizontal="right" vertical="center" wrapText="1"/>
    </xf>
    <xf numFmtId="3" fontId="42" fillId="0" borderId="1" xfId="9" applyNumberFormat="1" applyFont="1" applyBorder="1" applyAlignment="1">
      <alignment horizontal="right" vertical="center"/>
    </xf>
    <xf numFmtId="0" fontId="44" fillId="0" borderId="0" xfId="9" applyFont="1"/>
    <xf numFmtId="0" fontId="42" fillId="0" borderId="3" xfId="9" applyFont="1" applyBorder="1" applyAlignment="1">
      <alignment horizontal="center" vertical="center"/>
    </xf>
    <xf numFmtId="43" fontId="44" fillId="0" borderId="0" xfId="1" applyFont="1" applyBorder="1"/>
    <xf numFmtId="0" fontId="42" fillId="0" borderId="0" xfId="9" applyFont="1" applyAlignment="1">
      <alignment horizontal="center" vertical="center"/>
    </xf>
    <xf numFmtId="0" fontId="44" fillId="0" borderId="0" xfId="9" applyFont="1" applyAlignment="1">
      <alignment horizontal="center"/>
    </xf>
    <xf numFmtId="169" fontId="42" fillId="4" borderId="2" xfId="45" applyNumberFormat="1" applyFont="1" applyFill="1" applyBorder="1" applyAlignment="1" applyProtection="1">
      <alignment horizontal="right" vertical="center" wrapText="1"/>
    </xf>
    <xf numFmtId="0" fontId="42" fillId="0" borderId="0" xfId="9" applyFont="1" applyAlignment="1">
      <alignment horizontal="right" vertical="center"/>
    </xf>
    <xf numFmtId="0" fontId="34" fillId="0" borderId="0" xfId="9" applyFont="1" applyAlignment="1">
      <alignment vertical="center" wrapText="1"/>
    </xf>
    <xf numFmtId="169" fontId="34" fillId="4" borderId="0" xfId="45" applyNumberFormat="1" applyFont="1" applyFill="1" applyBorder="1" applyAlignment="1" applyProtection="1">
      <alignment horizontal="right" vertical="center" wrapText="1"/>
    </xf>
    <xf numFmtId="0" fontId="34" fillId="0" borderId="0" xfId="9" applyFont="1" applyAlignment="1">
      <alignment horizontal="right" vertical="center" wrapText="1"/>
    </xf>
    <xf numFmtId="43" fontId="17" fillId="0" borderId="0" xfId="1" applyFont="1" applyBorder="1"/>
    <xf numFmtId="0" fontId="72" fillId="12" borderId="3" xfId="30" applyFont="1" applyFill="1" applyBorder="1" applyAlignment="1">
      <alignment horizontal="left" vertical="center"/>
    </xf>
    <xf numFmtId="169" fontId="34" fillId="0" borderId="0" xfId="45" applyNumberFormat="1" applyFont="1" applyBorder="1" applyAlignment="1" applyProtection="1">
      <alignment horizontal="right" vertical="center" wrapText="1"/>
    </xf>
    <xf numFmtId="0" fontId="45" fillId="0" borderId="0" xfId="9" applyFont="1" applyAlignment="1">
      <alignment vertical="center"/>
    </xf>
    <xf numFmtId="0" fontId="37" fillId="0" borderId="0" xfId="9" applyFont="1" applyAlignment="1">
      <alignment horizontal="right" vertical="center" wrapText="1"/>
    </xf>
    <xf numFmtId="169" fontId="34" fillId="6" borderId="0" xfId="45" applyNumberFormat="1" applyFont="1" applyFill="1" applyBorder="1" applyAlignment="1" applyProtection="1">
      <alignment horizontal="right" vertical="center" wrapText="1"/>
    </xf>
    <xf numFmtId="0" fontId="34" fillId="5" borderId="0" xfId="9" applyFont="1" applyFill="1" applyAlignment="1">
      <alignment horizontal="right" vertical="center" wrapText="1"/>
    </xf>
    <xf numFmtId="0" fontId="17" fillId="0" borderId="0" xfId="9" applyFont="1" applyAlignment="1">
      <alignment vertical="center"/>
    </xf>
    <xf numFmtId="0" fontId="17" fillId="0" borderId="0" xfId="9" applyFont="1" applyAlignment="1">
      <alignment horizontal="center" vertical="center"/>
    </xf>
    <xf numFmtId="0" fontId="17" fillId="0" borderId="3" xfId="9" applyFont="1" applyBorder="1" applyAlignment="1">
      <alignment horizontal="center" vertical="center"/>
    </xf>
    <xf numFmtId="0" fontId="17" fillId="0" borderId="3" xfId="9" applyFont="1" applyBorder="1" applyAlignment="1">
      <alignment horizontal="center" vertical="center" wrapText="1"/>
    </xf>
    <xf numFmtId="168" fontId="17" fillId="0" borderId="0" xfId="9" applyNumberFormat="1" applyFont="1" applyAlignment="1">
      <alignment vertical="center"/>
    </xf>
    <xf numFmtId="0" fontId="17" fillId="0" borderId="3" xfId="9" applyFont="1" applyBorder="1" applyAlignment="1">
      <alignment vertical="center"/>
    </xf>
    <xf numFmtId="168" fontId="17" fillId="0" borderId="3" xfId="9" applyNumberFormat="1" applyFont="1" applyBorder="1" applyAlignment="1">
      <alignment vertical="center"/>
    </xf>
    <xf numFmtId="0" fontId="19" fillId="0" borderId="0" xfId="9" applyFont="1" applyAlignment="1">
      <alignment vertical="center"/>
    </xf>
    <xf numFmtId="169" fontId="42" fillId="5" borderId="0" xfId="45" applyNumberFormat="1" applyFont="1" applyFill="1" applyBorder="1" applyAlignment="1" applyProtection="1">
      <alignment horizontal="right" vertical="center" wrapText="1"/>
    </xf>
    <xf numFmtId="168" fontId="42" fillId="4" borderId="3" xfId="9" applyNumberFormat="1" applyFont="1" applyFill="1" applyBorder="1" applyAlignment="1">
      <alignment horizontal="right" vertical="center" wrapText="1"/>
    </xf>
    <xf numFmtId="3" fontId="42" fillId="5" borderId="2" xfId="9" applyNumberFormat="1" applyFont="1" applyFill="1" applyBorder="1" applyAlignment="1">
      <alignment horizontal="right" vertical="center"/>
    </xf>
    <xf numFmtId="0" fontId="45" fillId="0" borderId="0" xfId="9" applyFont="1"/>
    <xf numFmtId="168" fontId="34" fillId="0" borderId="0" xfId="9" applyNumberFormat="1" applyFont="1" applyAlignment="1">
      <alignment horizontal="right" vertical="center" wrapText="1"/>
    </xf>
    <xf numFmtId="0" fontId="19" fillId="0" borderId="0" xfId="9" applyFont="1"/>
    <xf numFmtId="168" fontId="19" fillId="0" borderId="0" xfId="9" applyNumberFormat="1" applyFont="1" applyAlignment="1">
      <alignment horizontal="right" vertical="center" wrapText="1"/>
    </xf>
    <xf numFmtId="168" fontId="19" fillId="4" borderId="0" xfId="9" applyNumberFormat="1" applyFont="1" applyFill="1" applyAlignment="1">
      <alignment horizontal="right" vertical="center" wrapText="1"/>
    </xf>
    <xf numFmtId="168" fontId="19" fillId="6" borderId="0" xfId="9" applyNumberFormat="1" applyFont="1" applyFill="1" applyAlignment="1">
      <alignment horizontal="right" vertical="center" wrapText="1"/>
    </xf>
    <xf numFmtId="0" fontId="45" fillId="16" borderId="0" xfId="9" applyFont="1" applyFill="1" applyAlignment="1">
      <alignment horizontal="center" vertical="center"/>
    </xf>
    <xf numFmtId="168" fontId="42" fillId="4" borderId="0" xfId="9" applyNumberFormat="1" applyFont="1" applyFill="1" applyAlignment="1">
      <alignment horizontal="right" vertical="center" wrapText="1"/>
    </xf>
    <xf numFmtId="169" fontId="42" fillId="0" borderId="1" xfId="45" applyNumberFormat="1" applyFont="1" applyBorder="1" applyAlignment="1" applyProtection="1">
      <alignment horizontal="right" vertical="center" wrapText="1"/>
    </xf>
    <xf numFmtId="168" fontId="42" fillId="0" borderId="1" xfId="45" applyNumberFormat="1" applyFont="1" applyBorder="1" applyAlignment="1" applyProtection="1">
      <alignment horizontal="right" vertical="center" wrapText="1"/>
    </xf>
    <xf numFmtId="0" fontId="42" fillId="0" borderId="0" xfId="0" applyFont="1" applyAlignment="1">
      <alignment horizontal="justify" vertical="center"/>
    </xf>
    <xf numFmtId="17" fontId="42" fillId="0" borderId="3" xfId="9" applyNumberFormat="1" applyFont="1" applyBorder="1" applyAlignment="1">
      <alignment horizontal="center" vertical="center"/>
    </xf>
    <xf numFmtId="169" fontId="42" fillId="0" borderId="3" xfId="9" applyNumberFormat="1" applyFont="1" applyBorder="1" applyAlignment="1">
      <alignment horizontal="center" vertical="center"/>
    </xf>
    <xf numFmtId="0" fontId="29" fillId="0" borderId="0" xfId="9" applyFont="1" applyAlignment="1">
      <alignment horizontal="center"/>
    </xf>
    <xf numFmtId="0" fontId="86" fillId="0" borderId="0" xfId="9" applyFont="1" applyAlignment="1">
      <alignment horizontal="center"/>
    </xf>
    <xf numFmtId="0" fontId="87" fillId="0" borderId="0" xfId="9" applyFont="1"/>
    <xf numFmtId="168" fontId="40" fillId="5" borderId="41" xfId="4" applyNumberFormat="1" applyFont="1" applyFill="1" applyBorder="1" applyAlignment="1" applyProtection="1">
      <alignment vertical="center"/>
    </xf>
    <xf numFmtId="168" fontId="40" fillId="5" borderId="22" xfId="4" applyNumberFormat="1" applyFont="1" applyFill="1" applyBorder="1" applyAlignment="1" applyProtection="1">
      <alignment vertical="center"/>
    </xf>
    <xf numFmtId="0" fontId="52" fillId="0" borderId="0" xfId="5" applyFont="1" applyAlignment="1">
      <alignment horizontal="left" vertical="center"/>
    </xf>
    <xf numFmtId="49" fontId="48" fillId="0" borderId="0" xfId="5" applyNumberFormat="1" applyFont="1" applyAlignment="1">
      <alignment vertical="center"/>
    </xf>
    <xf numFmtId="0" fontId="48" fillId="0" borderId="0" xfId="30" applyFont="1"/>
    <xf numFmtId="0" fontId="48" fillId="0" borderId="0" xfId="30" applyFont="1" applyAlignment="1">
      <alignment horizontal="left"/>
    </xf>
    <xf numFmtId="0" fontId="60" fillId="0" borderId="0" xfId="5" applyFont="1" applyAlignment="1">
      <alignment horizontal="left" vertical="center"/>
    </xf>
    <xf numFmtId="168" fontId="48" fillId="0" borderId="10" xfId="6" applyNumberFormat="1" applyFont="1" applyBorder="1" applyAlignment="1" applyProtection="1">
      <alignment vertical="center"/>
    </xf>
    <xf numFmtId="0" fontId="40" fillId="0" borderId="0" xfId="5" applyFont="1" applyAlignment="1">
      <alignment horizontal="left" vertical="center"/>
    </xf>
    <xf numFmtId="0" fontId="48" fillId="0" borderId="0" xfId="5" applyFont="1" applyAlignment="1">
      <alignment horizontal="left" vertical="center"/>
    </xf>
    <xf numFmtId="167" fontId="51" fillId="12" borderId="1" xfId="6" applyNumberFormat="1" applyFont="1" applyFill="1" applyBorder="1" applyAlignment="1" applyProtection="1">
      <alignment horizontal="right" vertical="center"/>
    </xf>
    <xf numFmtId="166" fontId="51" fillId="0" borderId="1" xfId="4" applyNumberFormat="1" applyFont="1" applyBorder="1" applyAlignment="1" applyProtection="1">
      <alignment horizontal="right" vertical="center"/>
    </xf>
    <xf numFmtId="166" fontId="40" fillId="11" borderId="1" xfId="6" applyFont="1" applyFill="1" applyBorder="1" applyAlignment="1" applyProtection="1">
      <alignment vertical="center"/>
    </xf>
    <xf numFmtId="166" fontId="40" fillId="11" borderId="18" xfId="6" applyFont="1" applyFill="1" applyBorder="1" applyAlignment="1" applyProtection="1">
      <alignment vertical="center"/>
    </xf>
    <xf numFmtId="166" fontId="51" fillId="11" borderId="1" xfId="6" applyFont="1" applyFill="1" applyBorder="1" applyAlignment="1" applyProtection="1">
      <alignment horizontal="right" vertical="center"/>
    </xf>
    <xf numFmtId="167" fontId="40" fillId="11" borderId="1" xfId="6" applyNumberFormat="1" applyFont="1" applyFill="1" applyBorder="1" applyAlignment="1" applyProtection="1">
      <alignment vertical="center"/>
    </xf>
    <xf numFmtId="167" fontId="51" fillId="11" borderId="1" xfId="6" applyNumberFormat="1" applyFont="1" applyFill="1" applyBorder="1" applyAlignment="1" applyProtection="1">
      <alignment horizontal="right" vertical="center"/>
    </xf>
    <xf numFmtId="167" fontId="40" fillId="11" borderId="18" xfId="6" applyNumberFormat="1" applyFont="1" applyFill="1" applyBorder="1" applyAlignment="1" applyProtection="1">
      <alignment vertical="center"/>
    </xf>
    <xf numFmtId="166" fontId="40" fillId="11" borderId="39" xfId="30" applyNumberFormat="1" applyFont="1" applyFill="1" applyBorder="1" applyAlignment="1">
      <alignment vertical="center"/>
    </xf>
    <xf numFmtId="169" fontId="40" fillId="11" borderId="18" xfId="30" applyNumberFormat="1" applyFont="1" applyFill="1" applyBorder="1" applyAlignment="1">
      <alignment vertical="center"/>
    </xf>
    <xf numFmtId="169" fontId="40" fillId="11" borderId="18" xfId="6" applyNumberFormat="1" applyFont="1" applyFill="1" applyBorder="1" applyAlignment="1" applyProtection="1">
      <alignment vertical="center"/>
    </xf>
    <xf numFmtId="167" fontId="63" fillId="0" borderId="0" xfId="5" applyNumberFormat="1" applyFont="1" applyAlignment="1">
      <alignment horizontal="right" vertical="center"/>
    </xf>
    <xf numFmtId="171" fontId="40" fillId="11" borderId="18" xfId="6" applyNumberFormat="1" applyFont="1" applyFill="1" applyBorder="1" applyAlignment="1" applyProtection="1">
      <alignment vertical="center"/>
    </xf>
    <xf numFmtId="0" fontId="39" fillId="12" borderId="1" xfId="10" applyFont="1" applyFill="1" applyBorder="1" applyAlignment="1">
      <alignment vertical="center"/>
    </xf>
    <xf numFmtId="0" fontId="39" fillId="12" borderId="0" xfId="10" applyFont="1" applyFill="1" applyAlignment="1">
      <alignment vertical="center"/>
    </xf>
    <xf numFmtId="168" fontId="40" fillId="12" borderId="18" xfId="4" applyNumberFormat="1" applyFont="1" applyFill="1" applyBorder="1" applyAlignment="1" applyProtection="1">
      <alignment vertical="center"/>
    </xf>
    <xf numFmtId="168" fontId="40" fillId="12" borderId="10" xfId="4" applyNumberFormat="1" applyFont="1" applyFill="1" applyBorder="1" applyAlignment="1" applyProtection="1">
      <alignment vertical="center"/>
    </xf>
    <xf numFmtId="0" fontId="39" fillId="6" borderId="0" xfId="12" applyFont="1" applyFill="1" applyAlignment="1">
      <alignment vertical="center"/>
    </xf>
    <xf numFmtId="0" fontId="40" fillId="6" borderId="0" xfId="12" applyFont="1" applyFill="1" applyAlignment="1">
      <alignment vertical="center"/>
    </xf>
    <xf numFmtId="168" fontId="40" fillId="6" borderId="35" xfId="12" applyNumberFormat="1" applyFont="1" applyFill="1" applyBorder="1" applyAlignment="1">
      <alignment horizontal="right" vertical="center"/>
    </xf>
    <xf numFmtId="168" fontId="40" fillId="12" borderId="36" xfId="4" applyNumberFormat="1" applyFont="1" applyFill="1" applyBorder="1" applyAlignment="1" applyProtection="1">
      <alignment vertical="center"/>
    </xf>
    <xf numFmtId="168" fontId="40" fillId="6" borderId="19" xfId="12" applyNumberFormat="1" applyFont="1" applyFill="1" applyBorder="1" applyAlignment="1">
      <alignment horizontal="right" vertical="center"/>
    </xf>
    <xf numFmtId="168" fontId="40" fillId="12" borderId="38" xfId="4" applyNumberFormat="1" applyFont="1" applyFill="1" applyBorder="1" applyAlignment="1" applyProtection="1">
      <alignment vertical="center"/>
    </xf>
    <xf numFmtId="168" fontId="39" fillId="11" borderId="19" xfId="4" applyNumberFormat="1" applyFont="1" applyFill="1" applyBorder="1" applyAlignment="1" applyProtection="1">
      <alignment vertical="center"/>
    </xf>
    <xf numFmtId="168" fontId="40" fillId="11" borderId="40" xfId="4" applyNumberFormat="1" applyFont="1" applyFill="1" applyBorder="1" applyAlignment="1" applyProtection="1">
      <alignment vertical="center"/>
    </xf>
    <xf numFmtId="168" fontId="40" fillId="11" borderId="18" xfId="4" applyNumberFormat="1" applyFont="1" applyFill="1" applyBorder="1" applyAlignment="1" applyProtection="1">
      <alignment vertical="center"/>
    </xf>
    <xf numFmtId="0" fontId="40" fillId="6" borderId="0" xfId="12" applyFont="1" applyFill="1" applyAlignment="1">
      <alignment horizontal="right" vertical="center"/>
    </xf>
    <xf numFmtId="0" fontId="40" fillId="6" borderId="10" xfId="12" applyFont="1" applyFill="1" applyBorder="1" applyAlignment="1">
      <alignment horizontal="right" vertical="center"/>
    </xf>
    <xf numFmtId="168" fontId="40" fillId="6" borderId="19" xfId="11" applyNumberFormat="1" applyFont="1" applyFill="1" applyBorder="1" applyAlignment="1" applyProtection="1">
      <alignment horizontal="right" vertical="center"/>
    </xf>
    <xf numFmtId="168" fontId="40" fillId="6" borderId="10" xfId="11" applyNumberFormat="1" applyFont="1" applyFill="1" applyBorder="1" applyAlignment="1" applyProtection="1">
      <alignment horizontal="right" vertical="center"/>
    </xf>
    <xf numFmtId="0" fontId="39" fillId="11" borderId="0" xfId="10" applyFont="1" applyFill="1" applyAlignment="1">
      <alignment vertical="center"/>
    </xf>
    <xf numFmtId="14" fontId="39" fillId="11" borderId="0" xfId="30" applyNumberFormat="1" applyFont="1" applyFill="1" applyAlignment="1">
      <alignment horizontal="right" vertical="center"/>
    </xf>
    <xf numFmtId="14" fontId="39" fillId="11" borderId="10" xfId="30" applyNumberFormat="1" applyFont="1" applyFill="1" applyBorder="1" applyAlignment="1">
      <alignment horizontal="right" vertical="center"/>
    </xf>
    <xf numFmtId="166" fontId="60" fillId="5" borderId="0" xfId="6" applyFont="1" applyFill="1" applyBorder="1" applyAlignment="1" applyProtection="1">
      <alignment vertical="center"/>
    </xf>
    <xf numFmtId="166" fontId="60" fillId="5" borderId="10" xfId="6" applyFont="1" applyFill="1" applyBorder="1" applyAlignment="1" applyProtection="1">
      <alignment vertical="center"/>
    </xf>
    <xf numFmtId="0" fontId="40" fillId="11" borderId="1" xfId="30" applyFont="1" applyFill="1" applyBorder="1" applyAlignment="1">
      <alignment vertical="center"/>
    </xf>
    <xf numFmtId="166" fontId="40" fillId="5" borderId="0" xfId="6" applyFont="1" applyFill="1" applyBorder="1" applyAlignment="1" applyProtection="1">
      <alignment vertical="center"/>
    </xf>
    <xf numFmtId="167" fontId="39" fillId="11" borderId="0" xfId="6" applyNumberFormat="1" applyFont="1" applyFill="1" applyBorder="1" applyAlignment="1" applyProtection="1">
      <alignment vertical="center"/>
    </xf>
    <xf numFmtId="171" fontId="40" fillId="5" borderId="10" xfId="6" applyNumberFormat="1" applyFont="1" applyFill="1" applyBorder="1" applyAlignment="1" applyProtection="1">
      <alignment vertical="center"/>
    </xf>
    <xf numFmtId="0" fontId="39" fillId="11" borderId="21" xfId="30" applyFont="1" applyFill="1" applyBorder="1" applyAlignment="1">
      <alignment vertical="center"/>
    </xf>
    <xf numFmtId="0" fontId="40" fillId="11" borderId="21" xfId="30" applyFont="1" applyFill="1" applyBorder="1" applyAlignment="1">
      <alignment vertical="center"/>
    </xf>
    <xf numFmtId="169" fontId="39" fillId="11" borderId="24" xfId="30" applyNumberFormat="1" applyFont="1" applyFill="1" applyBorder="1" applyAlignment="1">
      <alignment vertical="center"/>
    </xf>
    <xf numFmtId="171" fontId="39" fillId="11" borderId="24" xfId="30" applyNumberFormat="1" applyFont="1" applyFill="1" applyBorder="1" applyAlignment="1">
      <alignment vertical="center"/>
    </xf>
    <xf numFmtId="0" fontId="39" fillId="5" borderId="0" xfId="30" applyFont="1" applyFill="1" applyAlignment="1">
      <alignment vertical="center"/>
    </xf>
    <xf numFmtId="43" fontId="90" fillId="0" borderId="0" xfId="1" applyFont="1"/>
    <xf numFmtId="0" fontId="91" fillId="0" borderId="0" xfId="9" applyFont="1"/>
    <xf numFmtId="169" fontId="17" fillId="0" borderId="0" xfId="9" applyNumberFormat="1" applyFont="1"/>
    <xf numFmtId="0" fontId="29" fillId="0" borderId="0" xfId="9" applyFont="1"/>
    <xf numFmtId="14" fontId="27" fillId="11" borderId="17" xfId="30" applyNumberFormat="1" applyFont="1" applyFill="1" applyBorder="1" applyAlignment="1">
      <alignment horizontal="center" vertical="center"/>
    </xf>
    <xf numFmtId="168" fontId="40" fillId="6" borderId="37" xfId="11" applyNumberFormat="1" applyFont="1" applyFill="1" applyBorder="1" applyAlignment="1" applyProtection="1">
      <alignment horizontal="right" vertical="center"/>
    </xf>
    <xf numFmtId="166" fontId="89" fillId="0" borderId="0" xfId="6" applyFont="1" applyBorder="1" applyAlignment="1" applyProtection="1">
      <alignment vertical="center"/>
    </xf>
    <xf numFmtId="166" fontId="92" fillId="0" borderId="0" xfId="6" applyFont="1" applyBorder="1" applyAlignment="1" applyProtection="1">
      <alignment vertical="center"/>
    </xf>
    <xf numFmtId="0" fontId="17" fillId="0" borderId="0" xfId="9" applyFont="1" applyAlignment="1">
      <alignment vertical="top"/>
    </xf>
    <xf numFmtId="0" fontId="90" fillId="0" borderId="0" xfId="9" applyFont="1"/>
    <xf numFmtId="43" fontId="93" fillId="0" borderId="0" xfId="1" applyFont="1"/>
    <xf numFmtId="43" fontId="93" fillId="0" borderId="0" xfId="1" applyFont="1" applyAlignment="1"/>
    <xf numFmtId="3" fontId="45" fillId="4" borderId="0" xfId="9" applyNumberFormat="1" applyFont="1" applyFill="1" applyAlignment="1">
      <alignment horizontal="right" vertical="center" wrapText="1"/>
    </xf>
    <xf numFmtId="4" fontId="91" fillId="0" borderId="0" xfId="9" applyNumberFormat="1" applyFont="1"/>
    <xf numFmtId="0" fontId="90" fillId="0" borderId="0" xfId="9" applyFont="1" applyAlignment="1">
      <alignment horizontal="left"/>
    </xf>
    <xf numFmtId="168" fontId="29" fillId="0" borderId="0" xfId="5" applyNumberFormat="1" applyFont="1" applyAlignment="1">
      <alignment vertical="center"/>
    </xf>
    <xf numFmtId="3" fontId="42" fillId="0" borderId="0" xfId="9" applyNumberFormat="1" applyFont="1" applyAlignment="1">
      <alignment horizontal="right" vertical="center" wrapText="1"/>
    </xf>
    <xf numFmtId="169" fontId="42" fillId="0" borderId="2" xfId="45" applyNumberFormat="1" applyFont="1" applyBorder="1" applyAlignment="1" applyProtection="1">
      <alignment horizontal="right" vertical="center" wrapText="1"/>
    </xf>
    <xf numFmtId="3" fontId="34" fillId="0" borderId="2" xfId="9" applyNumberFormat="1" applyFont="1" applyBorder="1" applyAlignment="1">
      <alignment horizontal="right" vertical="center" wrapText="1"/>
    </xf>
    <xf numFmtId="17" fontId="45" fillId="0" borderId="1" xfId="9" applyNumberFormat="1" applyFont="1" applyBorder="1" applyAlignment="1">
      <alignment horizontal="center" vertical="center"/>
    </xf>
    <xf numFmtId="0" fontId="45" fillId="0" borderId="0" xfId="9" applyFont="1" applyAlignment="1">
      <alignment horizontal="right" vertical="center" wrapText="1"/>
    </xf>
    <xf numFmtId="0" fontId="44" fillId="0" borderId="0" xfId="9" applyFont="1" applyAlignment="1">
      <alignment horizontal="justify" wrapText="1"/>
    </xf>
    <xf numFmtId="0" fontId="44" fillId="0" borderId="0" xfId="9" applyFont="1" applyAlignment="1">
      <alignment horizontal="justify" vertical="top" wrapText="1"/>
    </xf>
    <xf numFmtId="0" fontId="42" fillId="0" borderId="4" xfId="0" applyFont="1" applyBorder="1" applyAlignment="1">
      <alignment horizontal="center" vertical="center"/>
    </xf>
    <xf numFmtId="43" fontId="34" fillId="0" borderId="2" xfId="1" applyFont="1" applyBorder="1"/>
    <xf numFmtId="17" fontId="42" fillId="0" borderId="1" xfId="0" quotePrefix="1" applyNumberFormat="1" applyFont="1" applyBorder="1" applyAlignment="1">
      <alignment horizontal="center" vertical="center"/>
    </xf>
    <xf numFmtId="0" fontId="84" fillId="0" borderId="2" xfId="0" applyFont="1" applyBorder="1"/>
    <xf numFmtId="0" fontId="17" fillId="0" borderId="42" xfId="9" applyFont="1" applyBorder="1"/>
    <xf numFmtId="0" fontId="34" fillId="0" borderId="43" xfId="9" applyFont="1" applyBorder="1" applyAlignment="1">
      <alignment vertical="center"/>
    </xf>
    <xf numFmtId="0" fontId="17" fillId="0" borderId="44" xfId="9" applyFont="1" applyBorder="1"/>
    <xf numFmtId="3" fontId="34" fillId="4" borderId="4" xfId="9" applyNumberFormat="1" applyFont="1" applyFill="1" applyBorder="1" applyAlignment="1">
      <alignment horizontal="center" vertical="center" wrapText="1"/>
    </xf>
    <xf numFmtId="43" fontId="34" fillId="0" borderId="3" xfId="1" applyFont="1" applyBorder="1"/>
    <xf numFmtId="0" fontId="17" fillId="0" borderId="45" xfId="9" applyFont="1" applyBorder="1"/>
    <xf numFmtId="0" fontId="45" fillId="5" borderId="43" xfId="9" applyFont="1" applyFill="1" applyBorder="1" applyAlignment="1">
      <alignment vertical="center"/>
    </xf>
    <xf numFmtId="0" fontId="45" fillId="5" borderId="43" xfId="9" applyFont="1" applyFill="1" applyBorder="1" applyAlignment="1">
      <alignment horizontal="justify" vertical="center"/>
    </xf>
    <xf numFmtId="0" fontId="45" fillId="16" borderId="4" xfId="9" applyFont="1" applyFill="1" applyBorder="1" applyAlignment="1">
      <alignment horizontal="center" vertical="center"/>
    </xf>
    <xf numFmtId="0" fontId="42" fillId="0" borderId="43" xfId="9" applyFont="1" applyBorder="1" applyAlignment="1">
      <alignment horizontal="left" vertical="center"/>
    </xf>
    <xf numFmtId="0" fontId="42" fillId="0" borderId="43" xfId="9" applyFont="1" applyBorder="1" applyAlignment="1">
      <alignment horizontal="left" vertical="center" wrapText="1"/>
    </xf>
    <xf numFmtId="0" fontId="42" fillId="0" borderId="43" xfId="9" applyFont="1" applyBorder="1"/>
    <xf numFmtId="0" fontId="42" fillId="0" borderId="43" xfId="9" applyFont="1" applyBorder="1" applyAlignment="1">
      <alignment horizontal="center"/>
    </xf>
    <xf numFmtId="0" fontId="42" fillId="0" borderId="43" xfId="9" applyFont="1" applyBorder="1" applyAlignment="1">
      <alignment vertical="center"/>
    </xf>
    <xf numFmtId="43" fontId="42" fillId="0" borderId="2" xfId="1" applyFont="1" applyBorder="1"/>
    <xf numFmtId="0" fontId="45" fillId="5" borderId="2" xfId="9" applyFont="1" applyFill="1" applyBorder="1" applyAlignment="1">
      <alignment horizontal="right" vertical="center" wrapText="1"/>
    </xf>
    <xf numFmtId="43" fontId="42" fillId="0" borderId="3" xfId="1" applyFont="1" applyBorder="1"/>
    <xf numFmtId="0" fontId="45" fillId="5" borderId="3" xfId="9" applyFont="1" applyFill="1" applyBorder="1" applyAlignment="1">
      <alignment horizontal="right" vertical="center" wrapText="1"/>
    </xf>
    <xf numFmtId="43" fontId="34" fillId="0" borderId="2" xfId="1" applyFont="1" applyFill="1" applyBorder="1"/>
    <xf numFmtId="43" fontId="42" fillId="0" borderId="0" xfId="1" applyFont="1" applyFill="1" applyBorder="1"/>
    <xf numFmtId="0" fontId="34" fillId="0" borderId="43" xfId="9" applyFont="1" applyBorder="1" applyAlignment="1">
      <alignment vertical="center" wrapText="1"/>
    </xf>
    <xf numFmtId="43" fontId="17" fillId="0" borderId="0" xfId="1" applyFont="1" applyFill="1" applyBorder="1"/>
    <xf numFmtId="0" fontId="45" fillId="0" borderId="4" xfId="9" applyFont="1" applyBorder="1" applyAlignment="1">
      <alignment horizontal="center" vertical="center"/>
    </xf>
    <xf numFmtId="0" fontId="17" fillId="0" borderId="43" xfId="9" applyFont="1" applyBorder="1"/>
    <xf numFmtId="3" fontId="34" fillId="0" borderId="4" xfId="9" applyNumberFormat="1" applyFont="1" applyBorder="1" applyAlignment="1">
      <alignment horizontal="center" vertical="center" wrapText="1"/>
    </xf>
    <xf numFmtId="43" fontId="34" fillId="0" borderId="3" xfId="1" applyFont="1" applyFill="1" applyBorder="1"/>
    <xf numFmtId="43" fontId="45" fillId="5" borderId="2" xfId="1" applyFont="1" applyFill="1" applyBorder="1"/>
    <xf numFmtId="17" fontId="45" fillId="16" borderId="1" xfId="1" applyNumberFormat="1" applyFont="1" applyFill="1" applyBorder="1" applyAlignment="1">
      <alignment horizontal="center" vertical="center"/>
    </xf>
    <xf numFmtId="0" fontId="42" fillId="0" borderId="2" xfId="9" applyFont="1" applyBorder="1" applyAlignment="1">
      <alignment horizontal="center"/>
    </xf>
    <xf numFmtId="0" fontId="42" fillId="0" borderId="3" xfId="9" applyFont="1" applyBorder="1"/>
    <xf numFmtId="0" fontId="42" fillId="0" borderId="2" xfId="9" applyFont="1" applyBorder="1"/>
    <xf numFmtId="43" fontId="18" fillId="0" borderId="0" xfId="1" applyFont="1" applyBorder="1"/>
    <xf numFmtId="43" fontId="17" fillId="0" borderId="3" xfId="1" applyFont="1" applyBorder="1"/>
    <xf numFmtId="0" fontId="17" fillId="0" borderId="3" xfId="9" applyFont="1" applyBorder="1"/>
    <xf numFmtId="43" fontId="17" fillId="0" borderId="2" xfId="1" applyFont="1" applyBorder="1"/>
    <xf numFmtId="0" fontId="45" fillId="0" borderId="43" xfId="9" applyFont="1" applyBorder="1" applyAlignment="1">
      <alignment vertical="center"/>
    </xf>
    <xf numFmtId="169" fontId="42" fillId="6" borderId="1" xfId="45" applyNumberFormat="1" applyFont="1" applyFill="1" applyBorder="1" applyAlignment="1" applyProtection="1">
      <alignment horizontal="right" vertical="center" wrapText="1"/>
    </xf>
    <xf numFmtId="3" fontId="42" fillId="10" borderId="1" xfId="9" applyNumberFormat="1" applyFont="1" applyFill="1" applyBorder="1" applyAlignment="1">
      <alignment horizontal="right" vertical="center"/>
    </xf>
    <xf numFmtId="0" fontId="37" fillId="0" borderId="2" xfId="9" applyFont="1" applyBorder="1" applyAlignment="1">
      <alignment horizontal="right" vertical="center" wrapText="1"/>
    </xf>
    <xf numFmtId="0" fontId="34" fillId="0" borderId="43" xfId="9" applyFont="1" applyBorder="1" applyAlignment="1">
      <alignment horizontal="right" vertical="center"/>
    </xf>
    <xf numFmtId="0" fontId="34" fillId="0" borderId="46" xfId="9" applyFont="1" applyBorder="1" applyAlignment="1">
      <alignment horizontal="right" vertical="center"/>
    </xf>
    <xf numFmtId="169" fontId="34" fillId="6" borderId="3" xfId="45" applyNumberFormat="1" applyFont="1" applyFill="1" applyBorder="1" applyAlignment="1" applyProtection="1">
      <alignment horizontal="right" vertical="center" wrapText="1"/>
    </xf>
    <xf numFmtId="0" fontId="34" fillId="5" borderId="3" xfId="9" applyFont="1" applyFill="1" applyBorder="1" applyAlignment="1">
      <alignment horizontal="right" vertical="center" wrapText="1"/>
    </xf>
    <xf numFmtId="17" fontId="45" fillId="16" borderId="1" xfId="9" quotePrefix="1" applyNumberFormat="1" applyFont="1" applyFill="1" applyBorder="1" applyAlignment="1">
      <alignment horizontal="center" vertical="center"/>
    </xf>
    <xf numFmtId="0" fontId="19" fillId="0" borderId="43" xfId="9" applyFont="1" applyBorder="1" applyAlignment="1">
      <alignment vertical="center"/>
    </xf>
    <xf numFmtId="0" fontId="45" fillId="16" borderId="47" xfId="9" applyFont="1" applyFill="1" applyBorder="1" applyAlignment="1">
      <alignment horizontal="center" vertical="center"/>
    </xf>
    <xf numFmtId="0" fontId="45" fillId="16" borderId="46" xfId="9" applyFont="1" applyFill="1" applyBorder="1" applyAlignment="1">
      <alignment horizontal="center" vertical="center"/>
    </xf>
    <xf numFmtId="0" fontId="26" fillId="0" borderId="44" xfId="9" applyFont="1" applyBorder="1" applyAlignment="1">
      <alignment horizontal="left" vertical="top"/>
    </xf>
    <xf numFmtId="0" fontId="34" fillId="0" borderId="43" xfId="9" applyFont="1" applyBorder="1"/>
    <xf numFmtId="0" fontId="19" fillId="0" borderId="43" xfId="9" applyFont="1" applyBorder="1"/>
    <xf numFmtId="0" fontId="34" fillId="5" borderId="43" xfId="9" applyFont="1" applyFill="1" applyBorder="1"/>
    <xf numFmtId="0" fontId="42" fillId="0" borderId="43" xfId="9" applyFont="1" applyBorder="1" applyAlignment="1">
      <alignment horizontal="center" vertical="center"/>
    </xf>
    <xf numFmtId="43" fontId="90" fillId="3" borderId="0" xfId="1" applyFont="1" applyFill="1"/>
    <xf numFmtId="173" fontId="90" fillId="3" borderId="0" xfId="1" applyNumberFormat="1" applyFont="1" applyFill="1"/>
    <xf numFmtId="173" fontId="17" fillId="0" borderId="0" xfId="9" applyNumberFormat="1" applyFont="1"/>
    <xf numFmtId="173" fontId="17" fillId="0" borderId="0" xfId="9" applyNumberFormat="1" applyFont="1" applyAlignment="1">
      <alignment horizontal="center"/>
    </xf>
    <xf numFmtId="173" fontId="26" fillId="0" borderId="0" xfId="9" applyNumberFormat="1" applyFont="1" applyAlignment="1">
      <alignment vertical="top"/>
    </xf>
    <xf numFmtId="173" fontId="26" fillId="0" borderId="0" xfId="9" applyNumberFormat="1" applyFont="1" applyAlignment="1">
      <alignment horizontal="left" vertical="top"/>
    </xf>
    <xf numFmtId="173" fontId="90" fillId="0" borderId="0" xfId="9" applyNumberFormat="1" applyFont="1" applyAlignment="1">
      <alignment horizontal="left"/>
    </xf>
    <xf numFmtId="3" fontId="19" fillId="4" borderId="1" xfId="9" applyNumberFormat="1" applyFont="1" applyFill="1" applyBorder="1" applyAlignment="1">
      <alignment horizontal="right" vertical="center" wrapText="1"/>
    </xf>
    <xf numFmtId="0" fontId="19" fillId="0" borderId="3" xfId="9" applyFont="1" applyBorder="1"/>
    <xf numFmtId="3" fontId="45" fillId="0" borderId="0" xfId="9" applyNumberFormat="1" applyFont="1" applyAlignment="1">
      <alignment horizontal="right" vertical="center" wrapText="1"/>
    </xf>
    <xf numFmtId="168" fontId="45" fillId="0" borderId="0" xfId="9" applyNumberFormat="1" applyFont="1" applyAlignment="1">
      <alignment horizontal="right" vertical="center" wrapText="1"/>
    </xf>
    <xf numFmtId="169" fontId="45" fillId="6" borderId="1" xfId="45" applyNumberFormat="1" applyFont="1" applyFill="1" applyBorder="1" applyAlignment="1" applyProtection="1">
      <alignment horizontal="right" vertical="center" wrapText="1"/>
    </xf>
    <xf numFmtId="3" fontId="45" fillId="5" borderId="1" xfId="9" applyNumberFormat="1" applyFont="1" applyFill="1" applyBorder="1" applyAlignment="1">
      <alignment horizontal="right" vertical="center" wrapText="1"/>
    </xf>
    <xf numFmtId="0" fontId="43" fillId="0" borderId="3" xfId="9" applyFont="1" applyBorder="1"/>
    <xf numFmtId="3" fontId="45" fillId="0" borderId="1" xfId="9" applyNumberFormat="1" applyFont="1" applyBorder="1" applyAlignment="1">
      <alignment horizontal="right" vertical="center"/>
    </xf>
    <xf numFmtId="168" fontId="45" fillId="4" borderId="1" xfId="9" applyNumberFormat="1" applyFont="1" applyFill="1" applyBorder="1" applyAlignment="1">
      <alignment horizontal="right" vertical="center" wrapText="1"/>
    </xf>
    <xf numFmtId="0" fontId="45" fillId="0" borderId="3" xfId="9" applyFont="1" applyBorder="1"/>
    <xf numFmtId="0" fontId="94" fillId="0" borderId="0" xfId="9" applyFont="1"/>
    <xf numFmtId="0" fontId="0" fillId="0" borderId="0" xfId="0" applyAlignment="1">
      <alignment vertical="top"/>
    </xf>
    <xf numFmtId="0" fontId="17" fillId="0" borderId="2" xfId="9" applyFont="1" applyBorder="1"/>
    <xf numFmtId="169" fontId="45" fillId="4" borderId="0" xfId="45" applyNumberFormat="1" applyFont="1" applyFill="1" applyBorder="1" applyAlignment="1" applyProtection="1">
      <alignment horizontal="right" vertical="center" wrapText="1"/>
    </xf>
    <xf numFmtId="3" fontId="42" fillId="0" borderId="0" xfId="9" applyNumberFormat="1" applyFont="1" applyAlignment="1">
      <alignment vertical="center"/>
    </xf>
    <xf numFmtId="0" fontId="42" fillId="0" borderId="3" xfId="9" applyFont="1" applyBorder="1" applyAlignment="1">
      <alignment vertical="center"/>
    </xf>
    <xf numFmtId="169" fontId="42" fillId="4" borderId="3" xfId="45" applyNumberFormat="1" applyFont="1" applyFill="1" applyBorder="1" applyAlignment="1" applyProtection="1">
      <alignment horizontal="right" vertical="center" wrapText="1"/>
    </xf>
    <xf numFmtId="169" fontId="45" fillId="6" borderId="2" xfId="45" applyNumberFormat="1" applyFont="1" applyFill="1" applyBorder="1" applyAlignment="1" applyProtection="1">
      <alignment horizontal="right" vertical="center" wrapText="1"/>
    </xf>
    <xf numFmtId="0" fontId="45" fillId="0" borderId="0" xfId="9" applyFont="1" applyAlignment="1">
      <alignment horizontal="right" vertical="center"/>
    </xf>
    <xf numFmtId="0" fontId="43" fillId="0" borderId="0" xfId="9" applyFont="1"/>
    <xf numFmtId="3" fontId="45" fillId="0" borderId="2" xfId="9" applyNumberFormat="1" applyFont="1" applyBorder="1" applyAlignment="1">
      <alignment vertical="center"/>
    </xf>
    <xf numFmtId="0" fontId="17" fillId="10" borderId="3" xfId="9" applyFont="1" applyFill="1" applyBorder="1" applyAlignment="1">
      <alignment horizontal="center" vertical="center"/>
    </xf>
    <xf numFmtId="0" fontId="17" fillId="10" borderId="0" xfId="9" applyFont="1" applyFill="1" applyAlignment="1">
      <alignment horizontal="center" vertical="center"/>
    </xf>
    <xf numFmtId="0" fontId="17" fillId="10" borderId="3" xfId="9" applyFont="1" applyFill="1" applyBorder="1" applyAlignment="1">
      <alignment horizontal="center" vertical="center" wrapText="1"/>
    </xf>
    <xf numFmtId="0" fontId="17" fillId="10" borderId="0" xfId="9" applyFont="1" applyFill="1" applyAlignment="1">
      <alignment vertical="center"/>
    </xf>
    <xf numFmtId="168" fontId="17" fillId="10" borderId="0" xfId="9" applyNumberFormat="1" applyFont="1" applyFill="1" applyAlignment="1">
      <alignment vertical="center"/>
    </xf>
    <xf numFmtId="0" fontId="17" fillId="10" borderId="3" xfId="9" applyFont="1" applyFill="1" applyBorder="1" applyAlignment="1">
      <alignment vertical="center"/>
    </xf>
    <xf numFmtId="168" fontId="17" fillId="10" borderId="3" xfId="9" applyNumberFormat="1" applyFont="1" applyFill="1" applyBorder="1" applyAlignment="1">
      <alignment vertical="center"/>
    </xf>
    <xf numFmtId="0" fontId="17" fillId="5" borderId="0" xfId="9" applyFont="1" applyFill="1"/>
    <xf numFmtId="166" fontId="60" fillId="0" borderId="10" xfId="6" applyFont="1" applyBorder="1" applyAlignment="1" applyProtection="1">
      <alignment vertical="center"/>
    </xf>
    <xf numFmtId="168" fontId="60" fillId="0" borderId="10" xfId="6" applyNumberFormat="1" applyFont="1" applyBorder="1" applyAlignment="1" applyProtection="1">
      <alignment vertical="center"/>
    </xf>
    <xf numFmtId="169" fontId="34" fillId="10" borderId="0" xfId="45" applyNumberFormat="1" applyFont="1" applyFill="1" applyBorder="1" applyAlignment="1" applyProtection="1">
      <alignment horizontal="right" vertical="center" wrapText="1"/>
    </xf>
    <xf numFmtId="168" fontId="34" fillId="6" borderId="0" xfId="9" applyNumberFormat="1" applyFont="1" applyFill="1" applyAlignment="1">
      <alignment horizontal="right" vertical="center" wrapText="1"/>
    </xf>
    <xf numFmtId="168" fontId="34" fillId="6" borderId="3" xfId="9" applyNumberFormat="1" applyFont="1" applyFill="1" applyBorder="1" applyAlignment="1">
      <alignment horizontal="right" vertical="center" wrapText="1"/>
    </xf>
    <xf numFmtId="0" fontId="44" fillId="0" borderId="42" xfId="9" applyFont="1" applyBorder="1" applyAlignment="1">
      <alignment horizontal="justify" vertical="top" wrapText="1"/>
    </xf>
    <xf numFmtId="0" fontId="44" fillId="0" borderId="44" xfId="9" applyFont="1" applyBorder="1" applyAlignment="1">
      <alignment horizontal="justify" vertical="top" wrapText="1"/>
    </xf>
    <xf numFmtId="0" fontId="44" fillId="0" borderId="45" xfId="9" applyFont="1" applyBorder="1" applyAlignment="1">
      <alignment horizontal="justify" vertical="top" wrapText="1"/>
    </xf>
    <xf numFmtId="0" fontId="44" fillId="0" borderId="0" xfId="9" applyFont="1" applyAlignment="1">
      <alignment vertical="top" wrapText="1"/>
    </xf>
    <xf numFmtId="0" fontId="38" fillId="18" borderId="2" xfId="0" applyFont="1" applyFill="1" applyBorder="1" applyAlignment="1">
      <alignment horizontal="left" vertical="center"/>
    </xf>
    <xf numFmtId="0" fontId="38" fillId="18" borderId="0" xfId="0" applyFont="1" applyFill="1" applyAlignment="1">
      <alignment vertical="center"/>
    </xf>
    <xf numFmtId="17" fontId="38" fillId="19" borderId="2" xfId="0" quotePrefix="1" applyNumberFormat="1" applyFont="1" applyFill="1" applyBorder="1" applyAlignment="1">
      <alignment horizontal="center" vertical="center"/>
    </xf>
    <xf numFmtId="0" fontId="97" fillId="17" borderId="3" xfId="0" applyFont="1" applyFill="1" applyBorder="1" applyAlignment="1">
      <alignment horizontal="center" vertical="center" wrapText="1"/>
    </xf>
    <xf numFmtId="0" fontId="38" fillId="18" borderId="3" xfId="0" applyFont="1" applyFill="1" applyBorder="1" applyAlignment="1">
      <alignment horizontal="left" vertical="center"/>
    </xf>
    <xf numFmtId="0" fontId="97" fillId="18" borderId="3" xfId="0" applyFont="1" applyFill="1" applyBorder="1" applyAlignment="1">
      <alignment horizontal="left" vertical="center"/>
    </xf>
    <xf numFmtId="0" fontId="44" fillId="0" borderId="1" xfId="9" applyFont="1" applyBorder="1" applyAlignment="1">
      <alignment horizontal="center" vertical="center" wrapText="1"/>
    </xf>
    <xf numFmtId="0" fontId="44" fillId="0" borderId="0" xfId="9" applyFont="1" applyAlignment="1">
      <alignment horizontal="center" wrapText="1"/>
    </xf>
    <xf numFmtId="0" fontId="43" fillId="16" borderId="1" xfId="9" applyFont="1" applyFill="1" applyBorder="1" applyAlignment="1">
      <alignment horizontal="left" vertical="center" wrapText="1"/>
    </xf>
    <xf numFmtId="43" fontId="43" fillId="16" borderId="1" xfId="1" applyFont="1" applyFill="1" applyBorder="1" applyAlignment="1">
      <alignment horizontal="center" vertical="center" wrapText="1"/>
    </xf>
    <xf numFmtId="0" fontId="44" fillId="0" borderId="0" xfId="9" applyFont="1" applyAlignment="1">
      <alignment vertical="center" wrapText="1"/>
    </xf>
    <xf numFmtId="17" fontId="42" fillId="20" borderId="1" xfId="9" applyNumberFormat="1" applyFont="1" applyFill="1" applyBorder="1" applyAlignment="1">
      <alignment horizontal="center" vertical="center" wrapText="1"/>
    </xf>
    <xf numFmtId="0" fontId="42" fillId="0" borderId="1" xfId="9" applyFont="1" applyBorder="1" applyAlignment="1">
      <alignment vertical="center"/>
    </xf>
    <xf numFmtId="168" fontId="42" fillId="20" borderId="1" xfId="9" applyNumberFormat="1" applyFont="1" applyFill="1" applyBorder="1" applyAlignment="1">
      <alignment horizontal="right" vertical="center" wrapText="1"/>
    </xf>
    <xf numFmtId="168" fontId="42" fillId="0" borderId="1" xfId="9" applyNumberFormat="1" applyFont="1" applyBorder="1" applyAlignment="1">
      <alignment vertical="center"/>
    </xf>
    <xf numFmtId="168" fontId="42" fillId="0" borderId="0" xfId="9" applyNumberFormat="1" applyFont="1"/>
    <xf numFmtId="168" fontId="42" fillId="0" borderId="2" xfId="9" applyNumberFormat="1" applyFont="1" applyBorder="1"/>
    <xf numFmtId="168" fontId="42" fillId="20" borderId="1" xfId="9" applyNumberFormat="1" applyFont="1" applyFill="1" applyBorder="1" applyAlignment="1">
      <alignment horizontal="center" vertical="center" wrapText="1"/>
    </xf>
    <xf numFmtId="0" fontId="101" fillId="0" borderId="0" xfId="0" applyFont="1"/>
    <xf numFmtId="9" fontId="34" fillId="0" borderId="0" xfId="67" applyFont="1" applyBorder="1" applyAlignment="1" applyProtection="1">
      <alignment horizontal="center"/>
    </xf>
    <xf numFmtId="3" fontId="38" fillId="4" borderId="0" xfId="9" applyNumberFormat="1" applyFont="1" applyFill="1" applyAlignment="1">
      <alignment horizontal="right" vertical="center" wrapText="1"/>
    </xf>
    <xf numFmtId="0" fontId="8" fillId="0" borderId="0" xfId="0" applyFont="1" applyAlignment="1">
      <alignment horizontal="center"/>
    </xf>
    <xf numFmtId="168" fontId="104" fillId="3" borderId="0" xfId="0" applyNumberFormat="1" applyFont="1" applyFill="1"/>
    <xf numFmtId="0" fontId="102" fillId="0" borderId="3" xfId="5" applyFont="1" applyBorder="1" applyAlignment="1">
      <alignment horizontal="center" vertical="center" wrapText="1"/>
    </xf>
    <xf numFmtId="165" fontId="103" fillId="0" borderId="2" xfId="5" applyNumberFormat="1" applyFont="1" applyBorder="1" applyAlignment="1">
      <alignment horizontal="center" vertical="center"/>
    </xf>
    <xf numFmtId="0" fontId="9" fillId="0" borderId="2" xfId="0" applyFont="1" applyBorder="1" applyAlignment="1">
      <alignment vertical="center"/>
    </xf>
    <xf numFmtId="168" fontId="103" fillId="0" borderId="2" xfId="4" applyNumberFormat="1" applyFont="1" applyBorder="1" applyAlignment="1" applyProtection="1">
      <alignment vertical="center"/>
    </xf>
    <xf numFmtId="0" fontId="37" fillId="0" borderId="3" xfId="9" applyFont="1" applyBorder="1" applyAlignment="1">
      <alignment horizontal="center" vertical="center"/>
    </xf>
    <xf numFmtId="4" fontId="19" fillId="0" borderId="0" xfId="30" applyNumberFormat="1" applyFont="1" applyAlignment="1">
      <alignment vertical="center" wrapText="1"/>
    </xf>
    <xf numFmtId="4" fontId="19" fillId="0" borderId="0" xfId="30" applyNumberFormat="1" applyFont="1" applyAlignment="1">
      <alignment horizontal="center" vertical="center" wrapText="1"/>
    </xf>
    <xf numFmtId="3" fontId="19" fillId="0" borderId="0" xfId="30" applyNumberFormat="1" applyFont="1" applyAlignment="1">
      <alignment vertical="center" wrapText="1"/>
    </xf>
    <xf numFmtId="0" fontId="38" fillId="0" borderId="3" xfId="9" applyFont="1" applyBorder="1" applyAlignment="1">
      <alignment horizontal="center" vertical="center"/>
    </xf>
    <xf numFmtId="43" fontId="44" fillId="5" borderId="0" xfId="1" applyFont="1" applyFill="1" applyAlignment="1">
      <alignment vertical="center" wrapText="1"/>
    </xf>
    <xf numFmtId="43" fontId="44" fillId="5" borderId="0" xfId="1" applyFont="1" applyFill="1"/>
    <xf numFmtId="43" fontId="43" fillId="16" borderId="2" xfId="1" applyFont="1" applyFill="1" applyBorder="1" applyAlignment="1">
      <alignment horizontal="center" vertical="center" wrapText="1"/>
    </xf>
    <xf numFmtId="43" fontId="44" fillId="5" borderId="0" xfId="1" applyFont="1" applyFill="1" applyBorder="1" applyAlignment="1">
      <alignment vertical="center" wrapText="1"/>
    </xf>
    <xf numFmtId="43" fontId="43" fillId="16" borderId="0" xfId="1" applyFont="1" applyFill="1" applyBorder="1" applyAlignment="1">
      <alignment horizontal="center" vertical="center" wrapText="1"/>
    </xf>
    <xf numFmtId="43" fontId="43" fillId="16" borderId="3" xfId="1" applyFont="1" applyFill="1" applyBorder="1" applyAlignment="1">
      <alignment horizontal="center" vertical="center" wrapText="1"/>
    </xf>
    <xf numFmtId="43" fontId="44" fillId="5" borderId="0" xfId="1" applyFont="1" applyFill="1" applyBorder="1"/>
    <xf numFmtId="0" fontId="42" fillId="20" borderId="2" xfId="9" applyFont="1" applyFill="1" applyBorder="1" applyAlignment="1">
      <alignment horizontal="center"/>
    </xf>
    <xf numFmtId="43" fontId="80" fillId="3" borderId="0" xfId="5" applyNumberFormat="1" applyFont="1" applyFill="1" applyAlignment="1">
      <alignment vertical="center"/>
    </xf>
    <xf numFmtId="171" fontId="40" fillId="5" borderId="10" xfId="30" applyNumberFormat="1" applyFont="1" applyFill="1" applyBorder="1" applyAlignment="1">
      <alignment vertical="center"/>
    </xf>
    <xf numFmtId="167" fontId="51" fillId="5" borderId="0" xfId="30" applyNumberFormat="1" applyFont="1" applyFill="1" applyAlignment="1">
      <alignment horizontal="right" vertical="center"/>
    </xf>
    <xf numFmtId="167" fontId="40" fillId="5" borderId="10" xfId="30" applyNumberFormat="1" applyFont="1" applyFill="1" applyBorder="1" applyAlignment="1">
      <alignment vertical="center"/>
    </xf>
    <xf numFmtId="167" fontId="66" fillId="0" borderId="0" xfId="6" applyNumberFormat="1" applyFont="1" applyBorder="1" applyAlignment="1" applyProtection="1">
      <alignment horizontal="right" vertical="center"/>
    </xf>
    <xf numFmtId="167" fontId="51" fillId="0" borderId="0" xfId="30" applyNumberFormat="1" applyFont="1" applyAlignment="1">
      <alignment horizontal="right" vertical="center"/>
    </xf>
    <xf numFmtId="167" fontId="66" fillId="0" borderId="0" xfId="5" applyNumberFormat="1" applyFont="1" applyAlignment="1">
      <alignment horizontal="right" vertical="center"/>
    </xf>
    <xf numFmtId="167" fontId="51" fillId="0" borderId="0" xfId="6" applyNumberFormat="1" applyFont="1" applyBorder="1" applyAlignment="1" applyProtection="1">
      <alignment horizontal="right" vertical="center"/>
    </xf>
    <xf numFmtId="43" fontId="0" fillId="0" borderId="0" xfId="1" applyFont="1"/>
    <xf numFmtId="0" fontId="105" fillId="0" borderId="0" xfId="0" applyFont="1"/>
    <xf numFmtId="168" fontId="42" fillId="24" borderId="3" xfId="0" applyNumberFormat="1" applyFont="1" applyFill="1" applyBorder="1" applyAlignment="1">
      <alignment horizontal="right" vertical="center" wrapText="1"/>
    </xf>
    <xf numFmtId="168" fontId="0" fillId="0" borderId="0" xfId="0" applyNumberFormat="1"/>
    <xf numFmtId="0" fontId="106" fillId="16" borderId="4" xfId="9" applyFont="1" applyFill="1" applyBorder="1" applyAlignment="1">
      <alignment horizontal="left" vertical="center"/>
    </xf>
    <xf numFmtId="43" fontId="95" fillId="0" borderId="1" xfId="1" applyFont="1" applyBorder="1"/>
    <xf numFmtId="0" fontId="95" fillId="0" borderId="1" xfId="9" applyFont="1" applyBorder="1"/>
    <xf numFmtId="0" fontId="95" fillId="0" borderId="2" xfId="9" applyFont="1" applyBorder="1"/>
    <xf numFmtId="17" fontId="106" fillId="16" borderId="1" xfId="9" applyNumberFormat="1" applyFont="1" applyFill="1" applyBorder="1" applyAlignment="1">
      <alignment horizontal="center" vertical="center"/>
    </xf>
    <xf numFmtId="0" fontId="95" fillId="0" borderId="42" xfId="9" applyFont="1" applyBorder="1"/>
    <xf numFmtId="0" fontId="106" fillId="0" borderId="43" xfId="9" applyFont="1" applyBorder="1"/>
    <xf numFmtId="43" fontId="95" fillId="0" borderId="0" xfId="1" applyFont="1" applyBorder="1"/>
    <xf numFmtId="0" fontId="95" fillId="0" borderId="0" xfId="9" applyFont="1"/>
    <xf numFmtId="43" fontId="106" fillId="0" borderId="0" xfId="1" applyFont="1" applyBorder="1"/>
    <xf numFmtId="0" fontId="95" fillId="0" borderId="44" xfId="9" applyFont="1" applyBorder="1"/>
    <xf numFmtId="165" fontId="106" fillId="0" borderId="0" xfId="1" applyNumberFormat="1" applyFont="1" applyBorder="1"/>
    <xf numFmtId="0" fontId="106" fillId="0" borderId="46" xfId="9" applyFont="1" applyBorder="1"/>
    <xf numFmtId="43" fontId="95" fillId="0" borderId="3" xfId="1" applyFont="1" applyBorder="1"/>
    <xf numFmtId="0" fontId="95" fillId="0" borderId="3" xfId="9" applyFont="1" applyBorder="1"/>
    <xf numFmtId="165" fontId="106" fillId="0" borderId="3" xfId="1" applyNumberFormat="1" applyFont="1" applyBorder="1"/>
    <xf numFmtId="0" fontId="95" fillId="0" borderId="45" xfId="9" applyFont="1" applyBorder="1"/>
    <xf numFmtId="43" fontId="42" fillId="4" borderId="0" xfId="1" applyFont="1" applyFill="1" applyAlignment="1">
      <alignment horizontal="right" vertical="center" wrapText="1"/>
    </xf>
    <xf numFmtId="169" fontId="45" fillId="6" borderId="0" xfId="45" applyNumberFormat="1" applyFont="1" applyFill="1" applyBorder="1" applyAlignment="1" applyProtection="1">
      <alignment horizontal="right" vertical="center" wrapText="1"/>
    </xf>
    <xf numFmtId="0" fontId="42" fillId="5" borderId="0" xfId="9" applyFont="1" applyFill="1" applyAlignment="1">
      <alignment horizontal="right" vertical="center" wrapText="1"/>
    </xf>
    <xf numFmtId="0" fontId="42" fillId="5" borderId="0" xfId="9" applyFont="1" applyFill="1"/>
    <xf numFmtId="169" fontId="42" fillId="6" borderId="0" xfId="45" applyNumberFormat="1" applyFont="1" applyFill="1" applyBorder="1" applyAlignment="1" applyProtection="1">
      <alignment horizontal="right" vertical="center" wrapText="1"/>
    </xf>
    <xf numFmtId="168" fontId="42" fillId="25" borderId="0" xfId="0" applyNumberFormat="1" applyFont="1" applyFill="1" applyAlignment="1">
      <alignment vertical="center"/>
    </xf>
    <xf numFmtId="168" fontId="42" fillId="25" borderId="3" xfId="0" applyNumberFormat="1" applyFont="1" applyFill="1" applyBorder="1" applyAlignment="1">
      <alignment horizontal="right" vertical="center" wrapText="1"/>
    </xf>
    <xf numFmtId="168" fontId="42" fillId="20" borderId="2" xfId="0" applyNumberFormat="1" applyFont="1" applyFill="1" applyBorder="1" applyAlignment="1">
      <alignment horizontal="right" vertical="center" wrapText="1"/>
    </xf>
    <xf numFmtId="165" fontId="48" fillId="0" borderId="0" xfId="5" applyNumberFormat="1" applyFont="1"/>
    <xf numFmtId="173" fontId="29" fillId="10" borderId="0" xfId="10" applyNumberFormat="1" applyFont="1" applyFill="1"/>
    <xf numFmtId="167" fontId="18" fillId="15" borderId="0" xfId="1" applyNumberFormat="1" applyFont="1" applyFill="1"/>
    <xf numFmtId="43" fontId="29" fillId="3" borderId="0" xfId="1" applyFont="1" applyFill="1"/>
    <xf numFmtId="165" fontId="51" fillId="0" borderId="0" xfId="74" applyFont="1" applyBorder="1" applyAlignment="1" applyProtection="1">
      <alignment vertical="center"/>
    </xf>
    <xf numFmtId="168" fontId="27" fillId="12" borderId="1" xfId="74" applyNumberFormat="1" applyFont="1" applyFill="1" applyBorder="1" applyAlignment="1" applyProtection="1">
      <alignment horizontal="center" vertical="center"/>
    </xf>
    <xf numFmtId="168" fontId="27" fillId="12" borderId="18" xfId="74" applyNumberFormat="1" applyFont="1" applyFill="1" applyBorder="1" applyAlignment="1" applyProtection="1">
      <alignment horizontal="center" vertical="center"/>
    </xf>
    <xf numFmtId="173" fontId="29" fillId="0" borderId="0" xfId="9" applyNumberFormat="1" applyFont="1"/>
    <xf numFmtId="168" fontId="42" fillId="4" borderId="0" xfId="45" applyNumberFormat="1" applyFont="1" applyFill="1" applyBorder="1" applyAlignment="1" applyProtection="1">
      <alignment horizontal="right" vertical="center" wrapText="1"/>
    </xf>
    <xf numFmtId="43" fontId="45" fillId="5" borderId="1" xfId="1" applyFont="1" applyFill="1" applyBorder="1"/>
    <xf numFmtId="0" fontId="42" fillId="0" borderId="1" xfId="9" applyFont="1" applyBorder="1"/>
    <xf numFmtId="43" fontId="17" fillId="0" borderId="1" xfId="1" applyFont="1" applyBorder="1"/>
    <xf numFmtId="0" fontId="43" fillId="0" borderId="1" xfId="9" applyFont="1" applyBorder="1"/>
    <xf numFmtId="0" fontId="17" fillId="0" borderId="5" xfId="9" applyFont="1" applyBorder="1"/>
    <xf numFmtId="17" fontId="42" fillId="0" borderId="0" xfId="0" quotePrefix="1" applyNumberFormat="1" applyFont="1" applyAlignment="1">
      <alignment horizontal="center" vertical="center"/>
    </xf>
    <xf numFmtId="0" fontId="34" fillId="0" borderId="43" xfId="9" applyFont="1" applyBorder="1" applyAlignment="1">
      <alignment horizontal="left" vertical="center"/>
    </xf>
    <xf numFmtId="0" fontId="42" fillId="0" borderId="43" xfId="0" applyFont="1" applyBorder="1" applyAlignment="1">
      <alignment horizontal="left" vertical="center"/>
    </xf>
    <xf numFmtId="0" fontId="42" fillId="0" borderId="43" xfId="9" applyFont="1" applyBorder="1" applyAlignment="1">
      <alignment horizontal="left"/>
    </xf>
    <xf numFmtId="171" fontId="42" fillId="0" borderId="2" xfId="0" applyNumberFormat="1" applyFont="1" applyBorder="1" applyAlignment="1">
      <alignment horizontal="right" vertical="center"/>
    </xf>
    <xf numFmtId="168" fontId="40" fillId="5" borderId="10" xfId="74" applyNumberFormat="1" applyFont="1" applyFill="1" applyBorder="1" applyAlignment="1" applyProtection="1">
      <alignment vertical="center"/>
    </xf>
    <xf numFmtId="14" fontId="40" fillId="11" borderId="10" xfId="30" applyNumberFormat="1" applyFont="1" applyFill="1" applyBorder="1" applyAlignment="1">
      <alignment horizontal="center" vertical="center"/>
    </xf>
    <xf numFmtId="0" fontId="90" fillId="0" borderId="0" xfId="5" quotePrefix="1" applyFont="1" applyAlignment="1">
      <alignment horizontal="center"/>
    </xf>
    <xf numFmtId="0" fontId="90" fillId="0" borderId="0" xfId="5" applyFont="1" applyAlignment="1">
      <alignment horizontal="center" vertical="center"/>
    </xf>
    <xf numFmtId="43" fontId="51" fillId="0" borderId="10" xfId="4" applyNumberFormat="1" applyFont="1" applyBorder="1" applyAlignment="1" applyProtection="1">
      <alignment vertical="center"/>
    </xf>
    <xf numFmtId="166" fontId="53" fillId="5" borderId="30" xfId="6" applyFont="1" applyFill="1" applyBorder="1" applyAlignment="1" applyProtection="1">
      <alignment vertical="center"/>
    </xf>
    <xf numFmtId="168" fontId="51" fillId="5" borderId="10" xfId="4" applyNumberFormat="1" applyFont="1" applyFill="1" applyBorder="1" applyAlignment="1" applyProtection="1">
      <alignment vertical="center"/>
    </xf>
    <xf numFmtId="39" fontId="51" fillId="12" borderId="23" xfId="30" applyNumberFormat="1" applyFont="1" applyFill="1" applyBorder="1" applyAlignment="1">
      <alignment vertical="center"/>
    </xf>
    <xf numFmtId="167" fontId="51" fillId="12" borderId="49" xfId="30" applyNumberFormat="1" applyFont="1" applyFill="1" applyBorder="1" applyAlignment="1">
      <alignment vertical="center"/>
    </xf>
    <xf numFmtId="167" fontId="53" fillId="5" borderId="30" xfId="6" applyNumberFormat="1" applyFont="1" applyFill="1" applyBorder="1" applyAlignment="1" applyProtection="1">
      <alignment vertical="center"/>
    </xf>
    <xf numFmtId="167" fontId="51" fillId="0" borderId="10" xfId="4" applyNumberFormat="1" applyFont="1" applyBorder="1" applyAlignment="1" applyProtection="1">
      <alignment vertical="center"/>
    </xf>
    <xf numFmtId="167" fontId="51" fillId="5" borderId="10" xfId="4" applyNumberFormat="1" applyFont="1" applyFill="1" applyBorder="1" applyAlignment="1" applyProtection="1">
      <alignment vertical="center"/>
    </xf>
    <xf numFmtId="167" fontId="51" fillId="5" borderId="41" xfId="4" applyNumberFormat="1" applyFont="1" applyFill="1" applyBorder="1" applyAlignment="1" applyProtection="1">
      <alignment vertical="center"/>
    </xf>
    <xf numFmtId="167" fontId="51" fillId="5" borderId="22" xfId="4" applyNumberFormat="1" applyFont="1" applyFill="1" applyBorder="1" applyAlignment="1" applyProtection="1">
      <alignment vertical="center"/>
    </xf>
    <xf numFmtId="167" fontId="53" fillId="0" borderId="0" xfId="30" applyNumberFormat="1" applyFont="1"/>
    <xf numFmtId="167" fontId="53" fillId="0" borderId="0" xfId="5" applyNumberFormat="1" applyFont="1" applyAlignment="1">
      <alignment vertical="center"/>
    </xf>
    <xf numFmtId="167" fontId="53" fillId="0" borderId="10" xfId="6" applyNumberFormat="1" applyFont="1" applyBorder="1" applyAlignment="1" applyProtection="1">
      <alignment vertical="center"/>
    </xf>
    <xf numFmtId="167" fontId="51" fillId="12" borderId="23" xfId="30" applyNumberFormat="1" applyFont="1" applyFill="1" applyBorder="1" applyAlignment="1">
      <alignment vertical="center"/>
    </xf>
    <xf numFmtId="167" fontId="51" fillId="12" borderId="24" xfId="6" applyNumberFormat="1" applyFont="1" applyFill="1" applyBorder="1" applyAlignment="1" applyProtection="1">
      <alignment vertical="center"/>
    </xf>
    <xf numFmtId="167" fontId="81" fillId="3" borderId="50" xfId="6" applyNumberFormat="1" applyFont="1" applyFill="1" applyBorder="1" applyProtection="1"/>
    <xf numFmtId="167" fontId="17" fillId="0" borderId="0" xfId="5" applyNumberFormat="1" applyFont="1"/>
    <xf numFmtId="167" fontId="54" fillId="5" borderId="8" xfId="30" applyNumberFormat="1" applyFont="1" applyFill="1" applyBorder="1" applyAlignment="1">
      <alignment horizontal="center" vertical="center"/>
    </xf>
    <xf numFmtId="167" fontId="36" fillId="0" borderId="0" xfId="5" applyNumberFormat="1" applyFont="1" applyAlignment="1">
      <alignment vertical="center"/>
    </xf>
    <xf numFmtId="167" fontId="51" fillId="0" borderId="10" xfId="6" applyNumberFormat="1" applyFont="1" applyBorder="1" applyAlignment="1" applyProtection="1">
      <alignment vertical="center"/>
    </xf>
    <xf numFmtId="167" fontId="51" fillId="12" borderId="34" xfId="30" applyNumberFormat="1" applyFont="1" applyFill="1" applyBorder="1" applyAlignment="1">
      <alignment vertical="center"/>
    </xf>
    <xf numFmtId="14" fontId="0" fillId="0" borderId="0" xfId="0" applyNumberFormat="1"/>
    <xf numFmtId="4" fontId="90" fillId="0" borderId="0" xfId="9" quotePrefix="1" applyNumberFormat="1" applyFont="1"/>
    <xf numFmtId="0" fontId="16" fillId="0" borderId="0" xfId="0" quotePrefix="1" applyFont="1"/>
    <xf numFmtId="0" fontId="86" fillId="0" borderId="0" xfId="9" quotePrefix="1" applyFont="1" applyAlignment="1">
      <alignment horizontal="center"/>
    </xf>
    <xf numFmtId="3" fontId="34" fillId="4" borderId="46" xfId="9" applyNumberFormat="1" applyFont="1" applyFill="1" applyBorder="1" applyAlignment="1">
      <alignment horizontal="left" vertical="center" wrapText="1"/>
    </xf>
    <xf numFmtId="3" fontId="19" fillId="4" borderId="3" xfId="9" applyNumberFormat="1" applyFont="1" applyFill="1" applyBorder="1" applyAlignment="1">
      <alignment horizontal="right" vertical="center" wrapText="1"/>
    </xf>
    <xf numFmtId="0" fontId="86" fillId="0" borderId="0" xfId="9" applyFont="1" applyAlignment="1">
      <alignment horizontal="left"/>
    </xf>
    <xf numFmtId="0" fontId="8" fillId="9" borderId="0" xfId="0" applyFont="1" applyFill="1"/>
    <xf numFmtId="0" fontId="90" fillId="0" borderId="0" xfId="5" quotePrefix="1" applyFont="1" applyAlignment="1">
      <alignment horizontal="center" vertical="center"/>
    </xf>
    <xf numFmtId="0" fontId="44" fillId="5" borderId="0" xfId="9" applyFont="1" applyFill="1" applyAlignment="1">
      <alignment horizontal="justify" wrapText="1"/>
    </xf>
    <xf numFmtId="173" fontId="17" fillId="22" borderId="0" xfId="9" applyNumberFormat="1" applyFont="1" applyFill="1"/>
    <xf numFmtId="169" fontId="19" fillId="4" borderId="0" xfId="45" applyNumberFormat="1" applyFont="1" applyFill="1" applyBorder="1" applyAlignment="1" applyProtection="1">
      <alignment horizontal="right" vertical="center" wrapText="1"/>
    </xf>
    <xf numFmtId="169" fontId="19" fillId="0" borderId="0" xfId="45" applyNumberFormat="1" applyFont="1" applyBorder="1" applyAlignment="1" applyProtection="1">
      <alignment horizontal="right" vertical="center" wrapText="1"/>
    </xf>
    <xf numFmtId="0" fontId="42" fillId="5" borderId="2" xfId="9" applyFont="1" applyFill="1" applyBorder="1"/>
    <xf numFmtId="0" fontId="42" fillId="5" borderId="43" xfId="9" applyFont="1" applyFill="1" applyBorder="1" applyAlignment="1">
      <alignment vertical="center"/>
    </xf>
    <xf numFmtId="43" fontId="42" fillId="5" borderId="0" xfId="1" applyFont="1" applyFill="1" applyBorder="1"/>
    <xf numFmtId="43" fontId="17" fillId="5" borderId="3" xfId="1" applyFont="1" applyFill="1" applyBorder="1"/>
    <xf numFmtId="0" fontId="43" fillId="5" borderId="3" xfId="9" applyFont="1" applyFill="1" applyBorder="1"/>
    <xf numFmtId="3" fontId="45" fillId="5" borderId="1" xfId="9" applyNumberFormat="1" applyFont="1" applyFill="1" applyBorder="1" applyAlignment="1">
      <alignment horizontal="right" vertical="center"/>
    </xf>
    <xf numFmtId="169" fontId="45" fillId="0" borderId="2" xfId="45" applyNumberFormat="1" applyFont="1" applyBorder="1" applyAlignment="1" applyProtection="1">
      <alignment horizontal="right" vertical="center" wrapText="1"/>
    </xf>
    <xf numFmtId="0" fontId="108" fillId="0" borderId="0" xfId="0" applyFont="1" applyAlignment="1">
      <alignment horizontal="center" vertical="center" wrapText="1"/>
    </xf>
    <xf numFmtId="3" fontId="110" fillId="0" borderId="0" xfId="0" applyNumberFormat="1" applyFont="1" applyAlignment="1">
      <alignment vertical="center"/>
    </xf>
    <xf numFmtId="0" fontId="109" fillId="0" borderId="0" xfId="0" applyFont="1" applyAlignment="1">
      <alignment horizontal="justify" vertical="center" wrapText="1"/>
    </xf>
    <xf numFmtId="3" fontId="45" fillId="5" borderId="0" xfId="9" applyNumberFormat="1" applyFont="1" applyFill="1" applyAlignment="1">
      <alignment horizontal="right" vertical="center" wrapText="1"/>
    </xf>
    <xf numFmtId="0" fontId="0" fillId="5" borderId="0" xfId="0" applyFill="1"/>
    <xf numFmtId="17" fontId="45" fillId="16" borderId="0" xfId="9" applyNumberFormat="1" applyFont="1" applyFill="1" applyAlignment="1">
      <alignment horizontal="center" vertical="center"/>
    </xf>
    <xf numFmtId="0" fontId="42" fillId="5" borderId="0" xfId="9" applyFont="1" applyFill="1" applyAlignment="1">
      <alignment vertical="center"/>
    </xf>
    <xf numFmtId="3" fontId="42" fillId="6" borderId="0" xfId="9" applyNumberFormat="1" applyFont="1" applyFill="1" applyAlignment="1">
      <alignment horizontal="right" vertical="center" wrapText="1"/>
    </xf>
    <xf numFmtId="0" fontId="38" fillId="5" borderId="0" xfId="9" applyFont="1" applyFill="1" applyAlignment="1">
      <alignment horizontal="center" vertical="center" wrapText="1"/>
    </xf>
    <xf numFmtId="43" fontId="42" fillId="6" borderId="0" xfId="1" applyFont="1" applyFill="1" applyBorder="1" applyAlignment="1">
      <alignment horizontal="right" vertical="center" wrapText="1"/>
    </xf>
    <xf numFmtId="168" fontId="42" fillId="5" borderId="0" xfId="9" applyNumberFormat="1" applyFont="1" applyFill="1" applyAlignment="1">
      <alignment horizontal="right" vertical="center" wrapText="1"/>
    </xf>
    <xf numFmtId="43" fontId="45" fillId="5" borderId="0" xfId="1" applyFont="1" applyFill="1" applyBorder="1" applyAlignment="1">
      <alignment horizontal="right" vertical="center" wrapText="1"/>
    </xf>
    <xf numFmtId="43" fontId="42" fillId="0" borderId="0" xfId="1" applyFont="1" applyAlignment="1">
      <alignment horizontal="right" vertical="center" wrapText="1"/>
    </xf>
    <xf numFmtId="43" fontId="45" fillId="5" borderId="1" xfId="1" applyFont="1" applyFill="1" applyBorder="1" applyAlignment="1">
      <alignment horizontal="right" vertical="center" wrapText="1"/>
    </xf>
    <xf numFmtId="0" fontId="112" fillId="0" borderId="0" xfId="0" applyFont="1" applyAlignment="1">
      <alignment horizontal="center"/>
    </xf>
    <xf numFmtId="0" fontId="113" fillId="0" borderId="0" xfId="9" applyFont="1" applyAlignment="1">
      <alignment horizontal="center" vertical="center"/>
    </xf>
    <xf numFmtId="43" fontId="112" fillId="0" borderId="0" xfId="1" applyFont="1" applyAlignment="1">
      <alignment horizontal="center"/>
    </xf>
    <xf numFmtId="43" fontId="16" fillId="0" borderId="0" xfId="1" quotePrefix="1" applyFont="1" applyAlignment="1">
      <alignment horizontal="center"/>
    </xf>
    <xf numFmtId="0" fontId="90" fillId="0" borderId="0" xfId="9" quotePrefix="1" applyFont="1" applyAlignment="1">
      <alignment horizontal="center"/>
    </xf>
    <xf numFmtId="168" fontId="45" fillId="5" borderId="1" xfId="9" applyNumberFormat="1" applyFont="1" applyFill="1" applyBorder="1" applyAlignment="1">
      <alignment horizontal="right" vertical="center"/>
    </xf>
    <xf numFmtId="0" fontId="44" fillId="0" borderId="0" xfId="9" applyFont="1" applyAlignment="1">
      <alignment horizontal="left" wrapText="1"/>
    </xf>
    <xf numFmtId="3" fontId="34" fillId="0" borderId="0" xfId="9" applyNumberFormat="1" applyFont="1" applyAlignment="1">
      <alignment horizontal="right" vertical="center" wrapText="1"/>
    </xf>
    <xf numFmtId="0" fontId="44" fillId="5" borderId="0" xfId="9" applyFont="1" applyFill="1" applyAlignment="1">
      <alignment horizontal="justify" vertical="top" wrapText="1"/>
    </xf>
    <xf numFmtId="0" fontId="95" fillId="0" borderId="0" xfId="9" applyFont="1" applyAlignment="1">
      <alignment horizontal="justify" wrapText="1"/>
    </xf>
    <xf numFmtId="168" fontId="8" fillId="0" borderId="0" xfId="0" applyNumberFormat="1" applyFont="1"/>
    <xf numFmtId="0" fontId="44" fillId="5" borderId="0" xfId="9" applyFont="1" applyFill="1" applyAlignment="1">
      <alignment vertical="top" wrapText="1"/>
    </xf>
    <xf numFmtId="173" fontId="90" fillId="0" borderId="0" xfId="9" quotePrefix="1" applyNumberFormat="1" applyFont="1" applyAlignment="1">
      <alignment horizontal="center"/>
    </xf>
    <xf numFmtId="43" fontId="17" fillId="5" borderId="2" xfId="1" applyFont="1" applyFill="1" applyBorder="1"/>
    <xf numFmtId="0" fontId="17" fillId="5" borderId="2" xfId="9" applyFont="1" applyFill="1" applyBorder="1"/>
    <xf numFmtId="0" fontId="44" fillId="5" borderId="42" xfId="9" applyFont="1" applyFill="1" applyBorder="1" applyAlignment="1">
      <alignment horizontal="justify" vertical="top" wrapText="1"/>
    </xf>
    <xf numFmtId="0" fontId="17" fillId="5" borderId="43" xfId="9" applyFont="1" applyFill="1" applyBorder="1"/>
    <xf numFmtId="43" fontId="17" fillId="5" borderId="0" xfId="1" applyFont="1" applyFill="1" applyBorder="1"/>
    <xf numFmtId="0" fontId="44" fillId="5" borderId="44" xfId="9" applyFont="1" applyFill="1" applyBorder="1" applyAlignment="1">
      <alignment horizontal="justify" vertical="top" wrapText="1"/>
    </xf>
    <xf numFmtId="3" fontId="42" fillId="5" borderId="1" xfId="9" applyNumberFormat="1" applyFont="1" applyFill="1" applyBorder="1" applyAlignment="1">
      <alignment horizontal="right" vertical="center"/>
    </xf>
    <xf numFmtId="0" fontId="17" fillId="5" borderId="3" xfId="9" applyFont="1" applyFill="1" applyBorder="1"/>
    <xf numFmtId="0" fontId="44" fillId="5" borderId="45" xfId="9" applyFont="1" applyFill="1" applyBorder="1" applyAlignment="1">
      <alignment horizontal="justify" vertical="top" wrapText="1"/>
    </xf>
    <xf numFmtId="43" fontId="42" fillId="5" borderId="3" xfId="1" applyFont="1" applyFill="1" applyBorder="1"/>
    <xf numFmtId="3" fontId="19" fillId="6" borderId="1" xfId="9" applyNumberFormat="1" applyFont="1" applyFill="1" applyBorder="1" applyAlignment="1">
      <alignment horizontal="right" vertical="center" wrapText="1"/>
    </xf>
    <xf numFmtId="0" fontId="19" fillId="5" borderId="3" xfId="9" applyFont="1" applyFill="1" applyBorder="1"/>
    <xf numFmtId="3" fontId="19" fillId="4" borderId="0" xfId="9" applyNumberFormat="1" applyFont="1" applyFill="1" applyAlignment="1">
      <alignment horizontal="right" vertical="center" wrapText="1"/>
    </xf>
    <xf numFmtId="3" fontId="34" fillId="4" borderId="0" xfId="9" applyNumberFormat="1" applyFont="1" applyFill="1" applyAlignment="1">
      <alignment horizontal="left" vertical="center" wrapText="1"/>
    </xf>
    <xf numFmtId="0" fontId="42" fillId="0" borderId="43" xfId="0" applyFont="1" applyBorder="1" applyAlignment="1">
      <alignment horizontal="center" vertical="center"/>
    </xf>
    <xf numFmtId="3" fontId="34" fillId="4" borderId="4" xfId="9" applyNumberFormat="1" applyFont="1" applyFill="1" applyBorder="1" applyAlignment="1">
      <alignment horizontal="left" vertical="center" wrapText="1"/>
    </xf>
    <xf numFmtId="0" fontId="9" fillId="0" borderId="1" xfId="0" applyFont="1" applyBorder="1" applyAlignment="1">
      <alignment vertical="center"/>
    </xf>
    <xf numFmtId="168" fontId="17" fillId="0" borderId="0" xfId="9" applyNumberFormat="1" applyFont="1"/>
    <xf numFmtId="3" fontId="0" fillId="0" borderId="0" xfId="0" applyNumberFormat="1"/>
    <xf numFmtId="4" fontId="16" fillId="22" borderId="0" xfId="0" applyNumberFormat="1" applyFont="1" applyFill="1"/>
    <xf numFmtId="4" fontId="11" fillId="0" borderId="0" xfId="0" applyNumberFormat="1" applyFont="1"/>
    <xf numFmtId="168" fontId="9" fillId="0" borderId="1" xfId="0" applyNumberFormat="1" applyFont="1" applyBorder="1" applyAlignment="1">
      <alignment vertical="center"/>
    </xf>
    <xf numFmtId="0" fontId="9" fillId="0" borderId="4" xfId="5" applyFont="1" applyBorder="1" applyAlignment="1">
      <alignment horizontal="center" vertical="center" wrapText="1"/>
    </xf>
    <xf numFmtId="0" fontId="8" fillId="0" borderId="2" xfId="0" applyFont="1" applyBorder="1" applyAlignment="1">
      <alignment vertical="center"/>
    </xf>
    <xf numFmtId="0" fontId="9" fillId="0" borderId="1" xfId="5" applyFont="1" applyBorder="1" applyAlignment="1">
      <alignment horizontal="center" vertical="center" wrapText="1"/>
    </xf>
    <xf numFmtId="0" fontId="9" fillId="0" borderId="5" xfId="5" applyFont="1" applyBorder="1" applyAlignment="1">
      <alignment horizontal="center" vertical="center" wrapText="1"/>
    </xf>
    <xf numFmtId="0" fontId="115" fillId="4" borderId="43" xfId="5" applyFont="1" applyFill="1" applyBorder="1" applyAlignment="1">
      <alignment horizontal="left"/>
    </xf>
    <xf numFmtId="168" fontId="115" fillId="4" borderId="0" xfId="4" applyNumberFormat="1" applyFont="1" applyFill="1" applyBorder="1" applyProtection="1"/>
    <xf numFmtId="168" fontId="115" fillId="4" borderId="44" xfId="4" applyNumberFormat="1" applyFont="1" applyFill="1" applyBorder="1" applyProtection="1"/>
    <xf numFmtId="165" fontId="116" fillId="0" borderId="4" xfId="5" applyNumberFormat="1" applyFont="1" applyBorder="1" applyAlignment="1">
      <alignment horizontal="center" vertical="center"/>
    </xf>
    <xf numFmtId="168" fontId="116" fillId="0" borderId="1" xfId="4" applyNumberFormat="1" applyFont="1" applyBorder="1" applyAlignment="1" applyProtection="1">
      <alignment vertical="center"/>
    </xf>
    <xf numFmtId="168" fontId="116" fillId="0" borderId="5" xfId="4" applyNumberFormat="1" applyFont="1" applyBorder="1" applyAlignment="1" applyProtection="1">
      <alignment vertical="center"/>
    </xf>
    <xf numFmtId="0" fontId="8" fillId="22" borderId="0" xfId="0" applyFont="1" applyFill="1" applyAlignment="1">
      <alignment horizontal="center"/>
    </xf>
    <xf numFmtId="0" fontId="16" fillId="22" borderId="0" xfId="0" applyFont="1" applyFill="1"/>
    <xf numFmtId="169" fontId="45" fillId="5" borderId="0" xfId="45" applyNumberFormat="1" applyFont="1" applyFill="1" applyBorder="1" applyAlignment="1" applyProtection="1">
      <alignment horizontal="right" vertical="center" wrapText="1"/>
    </xf>
    <xf numFmtId="169" fontId="34" fillId="5" borderId="0" xfId="45" applyNumberFormat="1" applyFont="1" applyFill="1" applyBorder="1" applyAlignment="1" applyProtection="1">
      <alignment horizontal="right" vertical="center" wrapText="1"/>
    </xf>
    <xf numFmtId="168" fontId="45" fillId="25" borderId="3" xfId="0" applyNumberFormat="1" applyFont="1" applyFill="1" applyBorder="1" applyAlignment="1">
      <alignment horizontal="right" vertical="center" wrapText="1"/>
    </xf>
    <xf numFmtId="168" fontId="42" fillId="5" borderId="1" xfId="9" applyNumberFormat="1" applyFont="1" applyFill="1" applyBorder="1" applyAlignment="1">
      <alignment vertical="center"/>
    </xf>
    <xf numFmtId="0" fontId="95" fillId="0" borderId="0" xfId="9" applyFont="1" applyAlignment="1">
      <alignment horizontal="justify" vertical="top" wrapText="1"/>
    </xf>
    <xf numFmtId="0" fontId="43" fillId="0" borderId="0" xfId="9" applyFont="1" applyAlignment="1">
      <alignment horizontal="justify" vertical="top" wrapText="1"/>
    </xf>
    <xf numFmtId="3" fontId="34" fillId="4" borderId="0" xfId="9" applyNumberFormat="1" applyFont="1" applyFill="1" applyAlignment="1">
      <alignment horizontal="center" vertical="center" wrapText="1"/>
    </xf>
    <xf numFmtId="173" fontId="90" fillId="5" borderId="0" xfId="1" applyNumberFormat="1" applyFont="1" applyFill="1"/>
    <xf numFmtId="166" fontId="52" fillId="5" borderId="0" xfId="6" applyFont="1" applyFill="1" applyBorder="1" applyAlignment="1" applyProtection="1">
      <alignment vertical="center"/>
    </xf>
    <xf numFmtId="0" fontId="85" fillId="5" borderId="0" xfId="9" applyFont="1" applyFill="1" applyAlignment="1">
      <alignment horizontal="justify" wrapText="1"/>
    </xf>
    <xf numFmtId="0" fontId="85" fillId="0" borderId="0" xfId="9" applyFont="1" applyAlignment="1">
      <alignment horizontal="justify" vertical="top" wrapText="1"/>
    </xf>
    <xf numFmtId="0" fontId="107" fillId="5" borderId="0" xfId="9" applyFont="1" applyFill="1" applyAlignment="1">
      <alignment horizontal="justify" wrapText="1"/>
    </xf>
    <xf numFmtId="0" fontId="85" fillId="0" borderId="0" xfId="9" applyFont="1" applyAlignment="1">
      <alignment horizontal="justify" wrapText="1"/>
    </xf>
    <xf numFmtId="0" fontId="43" fillId="5" borderId="0" xfId="9" applyFont="1" applyFill="1" applyAlignment="1">
      <alignment horizontal="justify" vertical="top" wrapText="1"/>
    </xf>
    <xf numFmtId="0" fontId="94" fillId="0" borderId="0" xfId="9" applyFont="1" applyAlignment="1">
      <alignment horizontal="justify" wrapText="1"/>
    </xf>
    <xf numFmtId="0" fontId="26" fillId="0" borderId="0" xfId="9" applyFont="1" applyAlignment="1">
      <alignment horizontal="left"/>
    </xf>
    <xf numFmtId="0" fontId="26" fillId="5" borderId="0" xfId="9" applyFont="1" applyFill="1" applyAlignment="1">
      <alignment horizontal="left"/>
    </xf>
    <xf numFmtId="0" fontId="44" fillId="0" borderId="0" xfId="9" applyFont="1" applyAlignment="1">
      <alignment horizontal="left"/>
    </xf>
    <xf numFmtId="0" fontId="18" fillId="0" borderId="0" xfId="9" applyFont="1" applyAlignment="1">
      <alignment horizontal="center"/>
    </xf>
    <xf numFmtId="0" fontId="94" fillId="0" borderId="0" xfId="9" applyFont="1" applyAlignment="1">
      <alignment horizontal="center"/>
    </xf>
    <xf numFmtId="0" fontId="17" fillId="0" borderId="0" xfId="9" quotePrefix="1" applyFont="1"/>
    <xf numFmtId="0" fontId="90" fillId="0" borderId="0" xfId="9" quotePrefix="1" applyFont="1"/>
    <xf numFmtId="0" fontId="86" fillId="0" borderId="0" xfId="9" applyFont="1"/>
    <xf numFmtId="3" fontId="45" fillId="4" borderId="1" xfId="9" applyNumberFormat="1" applyFont="1" applyFill="1" applyBorder="1" applyAlignment="1">
      <alignment horizontal="right" vertical="center" wrapText="1"/>
    </xf>
    <xf numFmtId="0" fontId="90" fillId="0" borderId="0" xfId="9" applyFont="1" applyAlignment="1">
      <alignment horizontal="center"/>
    </xf>
    <xf numFmtId="43" fontId="43" fillId="31" borderId="1" xfId="1" applyFont="1" applyFill="1" applyBorder="1" applyAlignment="1">
      <alignment horizontal="center" vertical="center" wrapText="1"/>
    </xf>
    <xf numFmtId="43" fontId="43" fillId="31" borderId="2" xfId="1" applyFont="1" applyFill="1" applyBorder="1" applyAlignment="1">
      <alignment horizontal="center" vertical="center" wrapText="1"/>
    </xf>
    <xf numFmtId="43" fontId="44" fillId="9" borderId="0" xfId="1" applyFont="1" applyFill="1" applyBorder="1" applyAlignment="1">
      <alignment vertical="center" wrapText="1"/>
    </xf>
    <xf numFmtId="43" fontId="43" fillId="31" borderId="0" xfId="1" applyFont="1" applyFill="1" applyBorder="1" applyAlignment="1">
      <alignment horizontal="center" vertical="center" wrapText="1"/>
    </xf>
    <xf numFmtId="43" fontId="43" fillId="31" borderId="3" xfId="1" applyFont="1" applyFill="1" applyBorder="1" applyAlignment="1">
      <alignment horizontal="center" vertical="center" wrapText="1"/>
    </xf>
    <xf numFmtId="43" fontId="44" fillId="9" borderId="0" xfId="1" applyFont="1" applyFill="1" applyBorder="1"/>
    <xf numFmtId="168" fontId="19" fillId="5" borderId="0" xfId="9" applyNumberFormat="1" applyFont="1" applyFill="1" applyAlignment="1">
      <alignment horizontal="right" vertical="center" wrapText="1"/>
    </xf>
    <xf numFmtId="0" fontId="117" fillId="0" borderId="0" xfId="9" quotePrefix="1" applyFont="1"/>
    <xf numFmtId="0" fontId="43" fillId="0" borderId="47" xfId="9" applyFont="1" applyBorder="1" applyAlignment="1">
      <alignment horizontal="justify" vertical="top" wrapText="1"/>
    </xf>
    <xf numFmtId="0" fontId="43" fillId="0" borderId="2" xfId="9" applyFont="1" applyBorder="1" applyAlignment="1">
      <alignment horizontal="justify" vertical="top" wrapText="1"/>
    </xf>
    <xf numFmtId="0" fontId="43" fillId="0" borderId="46" xfId="9" applyFont="1" applyBorder="1" applyAlignment="1">
      <alignment horizontal="justify" vertical="top" wrapText="1"/>
    </xf>
    <xf numFmtId="0" fontId="43" fillId="0" borderId="3" xfId="9" applyFont="1" applyBorder="1" applyAlignment="1">
      <alignment horizontal="justify" vertical="top" wrapText="1"/>
    </xf>
    <xf numFmtId="41" fontId="45" fillId="6" borderId="3" xfId="9" applyNumberFormat="1" applyFont="1" applyFill="1" applyBorder="1" applyAlignment="1">
      <alignment horizontal="right" vertical="center" wrapText="1"/>
    </xf>
    <xf numFmtId="0" fontId="43" fillId="0" borderId="2" xfId="9" applyFont="1" applyBorder="1" applyAlignment="1">
      <alignment horizontal="right" vertical="top" wrapText="1"/>
    </xf>
    <xf numFmtId="0" fontId="43" fillId="0" borderId="42" xfId="9" applyFont="1" applyBorder="1" applyAlignment="1">
      <alignment horizontal="right" vertical="top" wrapText="1"/>
    </xf>
    <xf numFmtId="41" fontId="45" fillId="6" borderId="1" xfId="9" applyNumberFormat="1" applyFont="1" applyFill="1" applyBorder="1" applyAlignment="1">
      <alignment horizontal="right" vertical="center" wrapText="1"/>
    </xf>
    <xf numFmtId="41" fontId="45" fillId="6" borderId="5" xfId="9" applyNumberFormat="1" applyFont="1" applyFill="1" applyBorder="1" applyAlignment="1">
      <alignment horizontal="right" vertical="center" wrapText="1"/>
    </xf>
    <xf numFmtId="0" fontId="111" fillId="29" borderId="0" xfId="0" applyFont="1" applyFill="1" applyAlignment="1">
      <alignment vertical="center" wrapText="1"/>
    </xf>
    <xf numFmtId="43" fontId="44" fillId="0" borderId="2" xfId="1" applyFont="1" applyBorder="1"/>
    <xf numFmtId="0" fontId="44" fillId="0" borderId="2" xfId="9" applyFont="1" applyBorder="1"/>
    <xf numFmtId="0" fontId="97" fillId="16" borderId="2" xfId="9" applyFont="1" applyFill="1" applyBorder="1" applyAlignment="1">
      <alignment horizontal="center" vertical="center"/>
    </xf>
    <xf numFmtId="0" fontId="97" fillId="16" borderId="42" xfId="9" applyFont="1" applyFill="1" applyBorder="1" applyAlignment="1">
      <alignment horizontal="center" vertical="center"/>
    </xf>
    <xf numFmtId="169" fontId="42" fillId="4" borderId="44" xfId="45" applyNumberFormat="1" applyFont="1" applyFill="1" applyBorder="1" applyAlignment="1" applyProtection="1">
      <alignment horizontal="right" vertical="center" wrapText="1"/>
    </xf>
    <xf numFmtId="0" fontId="42" fillId="0" borderId="46" xfId="9" applyFont="1" applyBorder="1" applyAlignment="1">
      <alignment vertical="center"/>
    </xf>
    <xf numFmtId="169" fontId="42" fillId="4" borderId="45" xfId="45" applyNumberFormat="1" applyFont="1" applyFill="1" applyBorder="1" applyAlignment="1" applyProtection="1">
      <alignment horizontal="right" vertical="center" wrapText="1"/>
    </xf>
    <xf numFmtId="43" fontId="44" fillId="0" borderId="3" xfId="1" applyFont="1" applyBorder="1"/>
    <xf numFmtId="169" fontId="45" fillId="4" borderId="3" xfId="45" applyNumberFormat="1" applyFont="1" applyFill="1" applyBorder="1" applyAlignment="1" applyProtection="1">
      <alignment horizontal="right" vertical="center" wrapText="1"/>
    </xf>
    <xf numFmtId="0" fontId="42" fillId="0" borderId="3" xfId="9" applyFont="1" applyBorder="1" applyAlignment="1">
      <alignment horizontal="right" vertical="center"/>
    </xf>
    <xf numFmtId="0" fontId="44" fillId="0" borderId="3" xfId="9" applyFont="1" applyBorder="1"/>
    <xf numFmtId="3" fontId="42" fillId="0" borderId="3" xfId="9" applyNumberFormat="1" applyFont="1" applyBorder="1" applyAlignment="1">
      <alignment vertical="center"/>
    </xf>
    <xf numFmtId="3" fontId="42" fillId="0" borderId="45" xfId="9" applyNumberFormat="1" applyFont="1" applyBorder="1" applyAlignment="1">
      <alignment vertical="center"/>
    </xf>
    <xf numFmtId="0" fontId="42" fillId="0" borderId="45" xfId="9" applyFont="1" applyBorder="1" applyAlignment="1">
      <alignment horizontal="center" vertical="center"/>
    </xf>
    <xf numFmtId="0" fontId="45" fillId="0" borderId="3" xfId="9" applyFont="1" applyBorder="1" applyAlignment="1">
      <alignment horizontal="right" vertical="center"/>
    </xf>
    <xf numFmtId="3" fontId="45" fillId="0" borderId="5" xfId="9" applyNumberFormat="1" applyFont="1" applyBorder="1" applyAlignment="1">
      <alignment vertical="center"/>
    </xf>
    <xf numFmtId="17" fontId="42" fillId="0" borderId="45" xfId="9" applyNumberFormat="1" applyFont="1" applyBorder="1" applyAlignment="1">
      <alignment horizontal="center" vertical="center"/>
    </xf>
    <xf numFmtId="0" fontId="44" fillId="5" borderId="0" xfId="9" applyFont="1" applyFill="1"/>
    <xf numFmtId="169" fontId="42" fillId="6" borderId="44" xfId="45" applyNumberFormat="1" applyFont="1" applyFill="1" applyBorder="1" applyAlignment="1" applyProtection="1">
      <alignment horizontal="right" vertical="center" wrapText="1"/>
    </xf>
    <xf numFmtId="169" fontId="42" fillId="4" borderId="1" xfId="45" applyNumberFormat="1" applyFont="1" applyFill="1" applyBorder="1" applyAlignment="1" applyProtection="1">
      <alignment horizontal="right" vertical="center" wrapText="1"/>
    </xf>
    <xf numFmtId="169" fontId="42" fillId="4" borderId="5" xfId="45" applyNumberFormat="1" applyFont="1" applyFill="1" applyBorder="1" applyAlignment="1" applyProtection="1">
      <alignment horizontal="right" vertical="center" wrapText="1"/>
    </xf>
    <xf numFmtId="0" fontId="97" fillId="17" borderId="4" xfId="0" applyFont="1" applyFill="1" applyBorder="1" applyAlignment="1">
      <alignment horizontal="center" vertical="center" wrapText="1"/>
    </xf>
    <xf numFmtId="0" fontId="38" fillId="18" borderId="2" xfId="0" applyFont="1" applyFill="1" applyBorder="1" applyAlignment="1">
      <alignment vertical="center"/>
    </xf>
    <xf numFmtId="0" fontId="97" fillId="17" borderId="1" xfId="0" applyFont="1" applyFill="1" applyBorder="1" applyAlignment="1">
      <alignment horizontal="center" vertical="center" wrapText="1"/>
    </xf>
    <xf numFmtId="0" fontId="97" fillId="17" borderId="5" xfId="0" applyFont="1" applyFill="1" applyBorder="1" applyAlignment="1">
      <alignment horizontal="center" vertical="center" wrapText="1"/>
    </xf>
    <xf numFmtId="0" fontId="38" fillId="18" borderId="47" xfId="0" applyFont="1" applyFill="1" applyBorder="1" applyAlignment="1">
      <alignment horizontal="left" vertical="center"/>
    </xf>
    <xf numFmtId="0" fontId="38" fillId="18" borderId="46" xfId="0" applyFont="1" applyFill="1" applyBorder="1" applyAlignment="1">
      <alignment horizontal="left" vertical="center"/>
    </xf>
    <xf numFmtId="168" fontId="45" fillId="25" borderId="0" xfId="0" applyNumberFormat="1" applyFont="1" applyFill="1" applyAlignment="1">
      <alignment vertical="center"/>
    </xf>
    <xf numFmtId="168" fontId="42" fillId="25" borderId="45" xfId="0" applyNumberFormat="1" applyFont="1" applyFill="1" applyBorder="1" applyAlignment="1">
      <alignment horizontal="right" vertical="center" wrapText="1"/>
    </xf>
    <xf numFmtId="0" fontId="97" fillId="18" borderId="46" xfId="0" applyFont="1" applyFill="1" applyBorder="1" applyAlignment="1">
      <alignment horizontal="left" vertical="center"/>
    </xf>
    <xf numFmtId="17" fontId="38" fillId="19" borderId="4" xfId="0" quotePrefix="1" applyNumberFormat="1" applyFont="1" applyFill="1" applyBorder="1" applyAlignment="1">
      <alignment horizontal="center" vertical="center"/>
    </xf>
    <xf numFmtId="168" fontId="42" fillId="25" borderId="3" xfId="0" applyNumberFormat="1" applyFont="1" applyFill="1" applyBorder="1" applyAlignment="1">
      <alignment vertical="center"/>
    </xf>
    <xf numFmtId="168" fontId="42" fillId="20" borderId="1" xfId="0" applyNumberFormat="1" applyFont="1" applyFill="1" applyBorder="1" applyAlignment="1">
      <alignment horizontal="right" vertical="center" wrapText="1"/>
    </xf>
    <xf numFmtId="168" fontId="42" fillId="20" borderId="5" xfId="0" applyNumberFormat="1" applyFont="1" applyFill="1" applyBorder="1" applyAlignment="1">
      <alignment horizontal="right" vertical="center" wrapText="1"/>
    </xf>
    <xf numFmtId="0" fontId="0" fillId="0" borderId="47" xfId="0" applyBorder="1"/>
    <xf numFmtId="0" fontId="0" fillId="0" borderId="2" xfId="0" applyBorder="1"/>
    <xf numFmtId="0" fontId="0" fillId="0" borderId="43" xfId="0" applyBorder="1"/>
    <xf numFmtId="0" fontId="44" fillId="0" borderId="5" xfId="9" applyFont="1" applyBorder="1" applyAlignment="1">
      <alignment horizontal="center" vertical="center" wrapText="1"/>
    </xf>
    <xf numFmtId="0" fontId="43" fillId="16" borderId="4" xfId="9" applyFont="1" applyFill="1" applyBorder="1" applyAlignment="1">
      <alignment horizontal="left" vertical="center" wrapText="1"/>
    </xf>
    <xf numFmtId="43" fontId="43" fillId="31" borderId="5" xfId="1" applyFont="1" applyFill="1" applyBorder="1" applyAlignment="1">
      <alignment horizontal="center" vertical="center" wrapText="1"/>
    </xf>
    <xf numFmtId="43" fontId="43" fillId="31" borderId="42" xfId="1" applyFont="1" applyFill="1" applyBorder="1" applyAlignment="1">
      <alignment horizontal="center" vertical="center" wrapText="1"/>
    </xf>
    <xf numFmtId="43" fontId="43" fillId="31" borderId="44" xfId="1" applyFont="1" applyFill="1" applyBorder="1" applyAlignment="1">
      <alignment horizontal="center" vertical="center" wrapText="1"/>
    </xf>
    <xf numFmtId="43" fontId="43" fillId="31" borderId="45" xfId="1" applyFont="1" applyFill="1" applyBorder="1" applyAlignment="1">
      <alignment horizontal="center" vertical="center" wrapText="1"/>
    </xf>
    <xf numFmtId="0" fontId="17" fillId="9" borderId="0" xfId="9" applyFont="1" applyFill="1"/>
    <xf numFmtId="0" fontId="17" fillId="9" borderId="44" xfId="9" applyFont="1" applyFill="1" applyBorder="1"/>
    <xf numFmtId="17" fontId="42" fillId="20" borderId="4" xfId="9" applyNumberFormat="1" applyFont="1" applyFill="1" applyBorder="1" applyAlignment="1">
      <alignment horizontal="center" vertical="center" wrapText="1"/>
    </xf>
    <xf numFmtId="168" fontId="42" fillId="20" borderId="5" xfId="9" applyNumberFormat="1" applyFont="1" applyFill="1" applyBorder="1" applyAlignment="1">
      <alignment horizontal="center" vertical="center" wrapText="1"/>
    </xf>
    <xf numFmtId="168" fontId="42" fillId="5" borderId="0" xfId="9" applyNumberFormat="1" applyFont="1" applyFill="1"/>
    <xf numFmtId="168" fontId="42" fillId="9" borderId="44" xfId="9" applyNumberFormat="1" applyFont="1" applyFill="1" applyBorder="1"/>
    <xf numFmtId="168" fontId="42" fillId="0" borderId="1" xfId="9" applyNumberFormat="1" applyFont="1" applyBorder="1"/>
    <xf numFmtId="0" fontId="45" fillId="30" borderId="5" xfId="9" applyFont="1" applyFill="1" applyBorder="1" applyAlignment="1">
      <alignment horizontal="center"/>
    </xf>
    <xf numFmtId="0" fontId="37" fillId="0" borderId="4" xfId="9" applyFont="1" applyBorder="1" applyAlignment="1">
      <alignment horizontal="center" vertical="center"/>
    </xf>
    <xf numFmtId="0" fontId="38" fillId="0" borderId="1" xfId="9" applyFont="1" applyBorder="1" applyAlignment="1">
      <alignment horizontal="center" vertical="center"/>
    </xf>
    <xf numFmtId="0" fontId="0" fillId="0" borderId="42" xfId="0" applyBorder="1"/>
    <xf numFmtId="4" fontId="118" fillId="5" borderId="0" xfId="30" applyNumberFormat="1" applyFont="1" applyFill="1" applyAlignment="1">
      <alignment vertical="center" wrapText="1"/>
    </xf>
    <xf numFmtId="0" fontId="0" fillId="0" borderId="44" xfId="0" applyBorder="1"/>
    <xf numFmtId="4" fontId="118" fillId="5" borderId="0" xfId="30" applyNumberFormat="1" applyFont="1" applyFill="1" applyAlignment="1">
      <alignment horizontal="center" vertical="center" wrapText="1"/>
    </xf>
    <xf numFmtId="3" fontId="118" fillId="5" borderId="0" xfId="30" applyNumberFormat="1" applyFont="1" applyFill="1" applyAlignment="1">
      <alignment vertical="center" wrapText="1"/>
    </xf>
    <xf numFmtId="0" fontId="0" fillId="0" borderId="46" xfId="0" applyBorder="1"/>
    <xf numFmtId="0" fontId="0" fillId="0" borderId="3" xfId="0" applyBorder="1"/>
    <xf numFmtId="0" fontId="45" fillId="0" borderId="3" xfId="9" applyFont="1" applyBorder="1" applyAlignment="1">
      <alignment vertical="center"/>
    </xf>
    <xf numFmtId="0" fontId="0" fillId="0" borderId="45" xfId="0" applyBorder="1"/>
    <xf numFmtId="168" fontId="42" fillId="6" borderId="0" xfId="45" applyNumberFormat="1" applyFont="1" applyFill="1" applyBorder="1" applyAlignment="1" applyProtection="1">
      <alignment horizontal="right" vertical="center" wrapText="1"/>
    </xf>
    <xf numFmtId="0" fontId="22" fillId="0" borderId="0" xfId="30" applyFont="1" applyAlignment="1">
      <alignment horizontal="center" vertical="center"/>
    </xf>
    <xf numFmtId="175" fontId="27" fillId="13" borderId="22" xfId="16" applyNumberFormat="1" applyFont="1" applyFill="1" applyBorder="1" applyProtection="1"/>
    <xf numFmtId="168" fontId="18" fillId="0" borderId="0" xfId="10" applyNumberFormat="1" applyFont="1" applyAlignment="1">
      <alignment vertical="center"/>
    </xf>
    <xf numFmtId="0" fontId="90" fillId="22" borderId="0" xfId="5" quotePrefix="1" applyFont="1" applyFill="1" applyAlignment="1">
      <alignment horizontal="center"/>
    </xf>
    <xf numFmtId="173" fontId="90" fillId="5" borderId="0" xfId="1" quotePrefix="1" applyNumberFormat="1" applyFont="1" applyFill="1"/>
    <xf numFmtId="173" fontId="90" fillId="3" borderId="0" xfId="1" quotePrefix="1" applyNumberFormat="1" applyFont="1" applyFill="1"/>
    <xf numFmtId="0" fontId="1" fillId="0" borderId="53" xfId="0" applyFont="1" applyBorder="1"/>
    <xf numFmtId="0" fontId="1" fillId="0" borderId="52" xfId="0" applyFont="1" applyBorder="1" applyAlignment="1">
      <alignment horizontal="center" vertical="center"/>
    </xf>
    <xf numFmtId="0" fontId="1" fillId="0" borderId="52" xfId="0" applyFont="1" applyBorder="1" applyAlignment="1">
      <alignment horizontal="center"/>
    </xf>
    <xf numFmtId="0" fontId="8" fillId="0" borderId="53" xfId="0" applyFont="1" applyBorder="1"/>
    <xf numFmtId="0" fontId="8" fillId="0" borderId="51" xfId="0" applyFont="1" applyBorder="1" applyAlignment="1">
      <alignment horizontal="left"/>
    </xf>
    <xf numFmtId="0" fontId="1" fillId="0" borderId="52" xfId="0" applyFont="1" applyBorder="1"/>
    <xf numFmtId="173" fontId="8" fillId="0" borderId="51" xfId="0" applyNumberFormat="1" applyFont="1" applyBorder="1"/>
    <xf numFmtId="173" fontId="8" fillId="0" borderId="51" xfId="1" applyNumberFormat="1" applyFont="1" applyBorder="1"/>
    <xf numFmtId="173" fontId="1" fillId="0" borderId="52" xfId="0" applyNumberFormat="1" applyFont="1" applyBorder="1"/>
    <xf numFmtId="168" fontId="34" fillId="5" borderId="0" xfId="9" applyNumberFormat="1" applyFont="1" applyFill="1" applyAlignment="1">
      <alignment horizontal="right" vertical="center" wrapText="1"/>
    </xf>
    <xf numFmtId="3" fontId="42" fillId="5" borderId="0" xfId="9" applyNumberFormat="1" applyFont="1" applyFill="1" applyAlignment="1">
      <alignment horizontal="right" vertical="center" wrapText="1"/>
    </xf>
    <xf numFmtId="3" fontId="34" fillId="5" borderId="2" xfId="9" applyNumberFormat="1" applyFont="1" applyFill="1" applyBorder="1" applyAlignment="1">
      <alignment horizontal="right" vertical="center" wrapText="1"/>
    </xf>
    <xf numFmtId="3" fontId="45" fillId="27" borderId="0" xfId="9" applyNumberFormat="1" applyFont="1" applyFill="1" applyAlignment="1">
      <alignment horizontal="right" vertical="center" wrapText="1"/>
    </xf>
    <xf numFmtId="0" fontId="42" fillId="5" borderId="4" xfId="0" applyFont="1" applyFill="1" applyBorder="1" applyAlignment="1">
      <alignment horizontal="center" vertical="center"/>
    </xf>
    <xf numFmtId="43" fontId="34" fillId="5" borderId="2" xfId="1" applyFont="1" applyFill="1" applyBorder="1"/>
    <xf numFmtId="17" fontId="42" fillId="5" borderId="1" xfId="0" quotePrefix="1" applyNumberFormat="1" applyFont="1" applyFill="1" applyBorder="1" applyAlignment="1">
      <alignment horizontal="center" vertical="center"/>
    </xf>
    <xf numFmtId="0" fontId="84" fillId="5" borderId="2" xfId="0" applyFont="1" applyFill="1" applyBorder="1"/>
    <xf numFmtId="0" fontId="17" fillId="5" borderId="42" xfId="9" applyFont="1" applyFill="1" applyBorder="1"/>
    <xf numFmtId="0" fontId="17" fillId="5" borderId="44" xfId="9" applyFont="1" applyFill="1" applyBorder="1"/>
    <xf numFmtId="3" fontId="34" fillId="6" borderId="4" xfId="9" applyNumberFormat="1" applyFont="1" applyFill="1" applyBorder="1" applyAlignment="1">
      <alignment horizontal="center" vertical="center" wrapText="1"/>
    </xf>
    <xf numFmtId="43" fontId="34" fillId="5" borderId="3" xfId="1" applyFont="1" applyFill="1" applyBorder="1"/>
    <xf numFmtId="0" fontId="17" fillId="5" borderId="45" xfId="9" applyFont="1" applyFill="1" applyBorder="1"/>
    <xf numFmtId="17" fontId="97" fillId="16" borderId="1" xfId="9" applyNumberFormat="1" applyFont="1" applyFill="1" applyBorder="1" applyAlignment="1">
      <alignment horizontal="center" vertical="center"/>
    </xf>
    <xf numFmtId="0" fontId="97" fillId="16" borderId="1" xfId="9" applyFont="1" applyFill="1" applyBorder="1" applyAlignment="1">
      <alignment horizontal="center" vertical="center"/>
    </xf>
    <xf numFmtId="0" fontId="38" fillId="0" borderId="0" xfId="9" applyFont="1" applyAlignment="1">
      <alignment horizontal="left" vertical="center"/>
    </xf>
    <xf numFmtId="0" fontId="38" fillId="0" borderId="0" xfId="9" applyFont="1" applyAlignment="1">
      <alignment vertical="center"/>
    </xf>
    <xf numFmtId="165" fontId="42" fillId="4" borderId="0" xfId="9" applyNumberFormat="1" applyFont="1" applyFill="1" applyAlignment="1">
      <alignment horizontal="right" vertical="center" wrapText="1"/>
    </xf>
    <xf numFmtId="0" fontId="97" fillId="16" borderId="1" xfId="9" applyFont="1" applyFill="1" applyBorder="1" applyAlignment="1">
      <alignment horizontal="left" vertical="center"/>
    </xf>
    <xf numFmtId="168" fontId="38" fillId="4" borderId="0" xfId="9" applyNumberFormat="1" applyFont="1" applyFill="1" applyAlignment="1">
      <alignment horizontal="right" vertical="center" wrapText="1"/>
    </xf>
    <xf numFmtId="0" fontId="97" fillId="16" borderId="0" xfId="9" applyFont="1" applyFill="1" applyAlignment="1">
      <alignment horizontal="left" vertical="center"/>
    </xf>
    <xf numFmtId="17" fontId="97" fillId="16" borderId="0" xfId="9" applyNumberFormat="1" applyFont="1" applyFill="1" applyAlignment="1">
      <alignment horizontal="center" vertical="center"/>
    </xf>
    <xf numFmtId="168" fontId="38" fillId="4" borderId="1" xfId="9" applyNumberFormat="1" applyFont="1" applyFill="1" applyBorder="1" applyAlignment="1">
      <alignment horizontal="right" vertical="center" wrapText="1"/>
    </xf>
    <xf numFmtId="165" fontId="42" fillId="28" borderId="0" xfId="9" applyNumberFormat="1" applyFont="1" applyFill="1" applyAlignment="1">
      <alignment horizontal="right" vertical="center" wrapText="1"/>
    </xf>
    <xf numFmtId="0" fontId="22" fillId="0" borderId="0" xfId="30" applyFont="1" applyAlignment="1">
      <alignment horizontal="center" vertical="center"/>
    </xf>
    <xf numFmtId="0" fontId="6" fillId="8" borderId="0" xfId="0" applyFont="1" applyFill="1" applyAlignment="1">
      <alignment horizontal="center" vertical="center"/>
    </xf>
    <xf numFmtId="0" fontId="59" fillId="0" borderId="0" xfId="30" applyFont="1" applyAlignment="1">
      <alignment horizontal="center" vertical="center"/>
    </xf>
    <xf numFmtId="0" fontId="59" fillId="0" borderId="6" xfId="5" applyFont="1" applyBorder="1" applyAlignment="1">
      <alignment horizontal="center"/>
    </xf>
    <xf numFmtId="0" fontId="59" fillId="0" borderId="48" xfId="5" applyFont="1" applyBorder="1" applyAlignment="1">
      <alignment horizontal="center"/>
    </xf>
    <xf numFmtId="0" fontId="22" fillId="0" borderId="0" xfId="5" applyFont="1" applyAlignment="1">
      <alignment horizontal="center" vertical="center"/>
    </xf>
    <xf numFmtId="0" fontId="23" fillId="0" borderId="0" xfId="5" applyFont="1" applyAlignment="1">
      <alignment horizontal="center" vertical="center"/>
    </xf>
    <xf numFmtId="0" fontId="27" fillId="11" borderId="0" xfId="30" applyFont="1" applyFill="1" applyAlignment="1">
      <alignment horizontal="center" vertical="center"/>
    </xf>
    <xf numFmtId="0" fontId="18" fillId="0" borderId="0" xfId="10" applyFont="1" applyAlignment="1">
      <alignment horizontal="center"/>
    </xf>
    <xf numFmtId="168" fontId="39" fillId="11" borderId="1" xfId="4" applyNumberFormat="1" applyFont="1" applyFill="1" applyBorder="1" applyAlignment="1" applyProtection="1">
      <alignment horizontal="left" vertical="center"/>
    </xf>
    <xf numFmtId="168" fontId="39" fillId="11" borderId="39" xfId="4" applyNumberFormat="1" applyFont="1" applyFill="1" applyBorder="1" applyAlignment="1" applyProtection="1">
      <alignment horizontal="left" vertical="center"/>
    </xf>
    <xf numFmtId="0" fontId="59" fillId="0" borderId="0" xfId="5" applyFont="1" applyAlignment="1">
      <alignment horizontal="center" vertical="center"/>
    </xf>
    <xf numFmtId="0" fontId="38" fillId="18" borderId="0" xfId="0" applyFont="1" applyFill="1" applyAlignment="1">
      <alignment vertical="center"/>
    </xf>
    <xf numFmtId="17" fontId="42" fillId="20" borderId="4" xfId="9" applyNumberFormat="1" applyFont="1" applyFill="1" applyBorder="1" applyAlignment="1">
      <alignment horizontal="right" wrapText="1"/>
    </xf>
    <xf numFmtId="17" fontId="42" fillId="20" borderId="1" xfId="9" applyNumberFormat="1" applyFont="1" applyFill="1" applyBorder="1" applyAlignment="1">
      <alignment horizontal="right" wrapText="1"/>
    </xf>
    <xf numFmtId="0" fontId="44" fillId="0" borderId="2" xfId="9" applyFont="1" applyBorder="1" applyAlignment="1">
      <alignment horizontal="center" vertical="center" wrapText="1"/>
    </xf>
    <xf numFmtId="0" fontId="44" fillId="0" borderId="42" xfId="9" applyFont="1" applyBorder="1" applyAlignment="1">
      <alignment horizontal="center" vertical="center" wrapText="1"/>
    </xf>
    <xf numFmtId="0" fontId="44" fillId="5" borderId="0" xfId="9" applyFont="1" applyFill="1" applyAlignment="1">
      <alignment horizontal="justify" vertical="top" wrapText="1"/>
    </xf>
    <xf numFmtId="0" fontId="85" fillId="0" borderId="0" xfId="9" applyFont="1" applyAlignment="1">
      <alignment horizontal="justify" vertical="top" wrapText="1"/>
    </xf>
    <xf numFmtId="0" fontId="44" fillId="0" borderId="0" xfId="9" applyFont="1" applyAlignment="1">
      <alignment horizontal="justify" vertical="top" wrapText="1"/>
    </xf>
    <xf numFmtId="0" fontId="38" fillId="25" borderId="0" xfId="0" applyFont="1" applyFill="1" applyAlignment="1">
      <alignment vertical="center"/>
    </xf>
    <xf numFmtId="0" fontId="38" fillId="25" borderId="44" xfId="0" applyFont="1" applyFill="1" applyBorder="1" applyAlignment="1">
      <alignment vertical="center"/>
    </xf>
    <xf numFmtId="168" fontId="42" fillId="25" borderId="0" xfId="0" applyNumberFormat="1" applyFont="1" applyFill="1" applyAlignment="1">
      <alignment vertical="center"/>
    </xf>
    <xf numFmtId="168" fontId="42" fillId="25" borderId="44" xfId="0" applyNumberFormat="1" applyFont="1" applyFill="1" applyBorder="1" applyAlignment="1">
      <alignment vertical="center"/>
    </xf>
    <xf numFmtId="0" fontId="38" fillId="0" borderId="1" xfId="9" applyFont="1" applyBorder="1" applyAlignment="1">
      <alignment horizontal="center" vertical="center"/>
    </xf>
    <xf numFmtId="0" fontId="19" fillId="0" borderId="0" xfId="9" applyFont="1" applyAlignment="1">
      <alignment horizontal="left" vertical="center"/>
    </xf>
    <xf numFmtId="0" fontId="19" fillId="0" borderId="0" xfId="30" applyFont="1" applyAlignment="1">
      <alignment horizontal="left"/>
    </xf>
    <xf numFmtId="0" fontId="19" fillId="0" borderId="0" xfId="9" applyFont="1" applyAlignment="1">
      <alignment horizontal="left" vertical="center" wrapText="1"/>
    </xf>
    <xf numFmtId="0" fontId="18" fillId="0" borderId="0" xfId="9" applyFont="1" applyAlignment="1">
      <alignment horizontal="center"/>
    </xf>
    <xf numFmtId="0" fontId="94" fillId="0" borderId="0" xfId="9" applyFont="1" applyAlignment="1">
      <alignment horizontal="center"/>
    </xf>
    <xf numFmtId="0" fontId="44" fillId="0" borderId="0" xfId="9" applyFont="1" applyAlignment="1">
      <alignment horizontal="justify" wrapText="1"/>
    </xf>
    <xf numFmtId="0" fontId="26" fillId="0" borderId="0" xfId="9" applyFont="1" applyAlignment="1">
      <alignment horizontal="left"/>
    </xf>
    <xf numFmtId="17" fontId="45" fillId="16" borderId="1" xfId="9" applyNumberFormat="1" applyFont="1" applyFill="1" applyBorder="1" applyAlignment="1">
      <alignment horizontal="center" vertical="center"/>
    </xf>
    <xf numFmtId="0" fontId="45" fillId="16" borderId="1" xfId="9" applyFont="1" applyFill="1" applyBorder="1" applyAlignment="1">
      <alignment horizontal="center" vertical="center"/>
    </xf>
    <xf numFmtId="17" fontId="45" fillId="16" borderId="5" xfId="9" applyNumberFormat="1" applyFont="1" applyFill="1" applyBorder="1" applyAlignment="1">
      <alignment horizontal="center" vertical="center"/>
    </xf>
    <xf numFmtId="0" fontId="95" fillId="0" borderId="0" xfId="9" applyFont="1" applyAlignment="1">
      <alignment horizontal="justify" vertical="top" wrapText="1"/>
    </xf>
    <xf numFmtId="0" fontId="26" fillId="5" borderId="0" xfId="9" applyFont="1" applyFill="1" applyAlignment="1">
      <alignment horizontal="left"/>
    </xf>
    <xf numFmtId="0" fontId="44" fillId="0" borderId="0" xfId="9" applyFont="1" applyAlignment="1">
      <alignment horizontal="left"/>
    </xf>
    <xf numFmtId="0" fontId="85" fillId="5" borderId="0" xfId="9" applyFont="1" applyFill="1" applyAlignment="1">
      <alignment horizontal="justify" wrapText="1"/>
    </xf>
    <xf numFmtId="0" fontId="85" fillId="0" borderId="0" xfId="9" applyFont="1" applyAlignment="1">
      <alignment horizontal="justify" wrapText="1"/>
    </xf>
    <xf numFmtId="0" fontId="43" fillId="0" borderId="0" xfId="9" applyFont="1" applyAlignment="1">
      <alignment horizontal="justify" vertical="top" wrapText="1"/>
    </xf>
    <xf numFmtId="0" fontId="44" fillId="0" borderId="0" xfId="9" applyFont="1" applyAlignment="1">
      <alignment horizontal="center" wrapText="1"/>
    </xf>
    <xf numFmtId="0" fontId="43" fillId="23" borderId="0" xfId="9" applyFont="1" applyFill="1" applyAlignment="1">
      <alignment horizontal="justify" vertical="top" wrapText="1"/>
    </xf>
    <xf numFmtId="0" fontId="44" fillId="5" borderId="0" xfId="9" applyFont="1" applyFill="1" applyAlignment="1">
      <alignment horizontal="justify" wrapText="1"/>
    </xf>
    <xf numFmtId="0" fontId="94" fillId="0" borderId="0" xfId="9" applyFont="1" applyAlignment="1">
      <alignment horizontal="justify" wrapText="1"/>
    </xf>
    <xf numFmtId="0" fontId="95" fillId="0" borderId="0" xfId="9" applyFont="1" applyAlignment="1">
      <alignment horizontal="justify" wrapText="1"/>
    </xf>
    <xf numFmtId="0" fontId="43" fillId="5" borderId="0" xfId="9" applyFont="1" applyFill="1" applyAlignment="1">
      <alignment horizontal="justify" vertical="top" wrapText="1"/>
    </xf>
    <xf numFmtId="0" fontId="45" fillId="16" borderId="5" xfId="9" applyFont="1" applyFill="1" applyBorder="1" applyAlignment="1">
      <alignment horizontal="center" vertical="center"/>
    </xf>
    <xf numFmtId="0" fontId="107" fillId="5" borderId="0" xfId="9" applyFont="1" applyFill="1" applyAlignment="1">
      <alignment horizontal="justify" wrapText="1"/>
    </xf>
    <xf numFmtId="0" fontId="1" fillId="0" borderId="53" xfId="0" applyFont="1" applyBorder="1" applyAlignment="1">
      <alignment horizontal="center" vertical="center"/>
    </xf>
    <xf numFmtId="0" fontId="1" fillId="0" borderId="51" xfId="0" applyFont="1" applyBorder="1" applyAlignment="1">
      <alignment horizontal="center" vertical="center"/>
    </xf>
    <xf numFmtId="0" fontId="119" fillId="0" borderId="53" xfId="0" applyFont="1" applyBorder="1" applyAlignment="1">
      <alignment horizontal="center" wrapText="1"/>
    </xf>
    <xf numFmtId="0" fontId="95" fillId="5" borderId="0" xfId="9" applyFont="1" applyFill="1" applyAlignment="1">
      <alignment horizontal="justify" vertical="top" wrapText="1"/>
    </xf>
    <xf numFmtId="0" fontId="99" fillId="5" borderId="0" xfId="9" applyFont="1" applyFill="1" applyAlignment="1">
      <alignment horizontal="justify" wrapText="1"/>
    </xf>
    <xf numFmtId="17" fontId="45" fillId="16" borderId="3" xfId="9" applyNumberFormat="1" applyFont="1" applyFill="1" applyBorder="1" applyAlignment="1">
      <alignment horizontal="center" vertical="center"/>
    </xf>
    <xf numFmtId="0" fontId="45" fillId="16" borderId="3" xfId="9" applyFont="1" applyFill="1" applyBorder="1" applyAlignment="1">
      <alignment horizontal="center" vertical="center"/>
    </xf>
    <xf numFmtId="0" fontId="80" fillId="0" borderId="0" xfId="9" applyFont="1" applyAlignment="1">
      <alignment horizontal="justify" wrapText="1"/>
    </xf>
    <xf numFmtId="0" fontId="38" fillId="0" borderId="3" xfId="9" applyFont="1" applyBorder="1" applyAlignment="1">
      <alignment horizontal="center" vertical="center"/>
    </xf>
    <xf numFmtId="0" fontId="44" fillId="21" borderId="0" xfId="9" applyFont="1" applyFill="1" applyAlignment="1">
      <alignment horizontal="justify" vertical="top" wrapText="1"/>
    </xf>
    <xf numFmtId="0" fontId="44" fillId="0" borderId="0" xfId="9" applyFont="1" applyAlignment="1">
      <alignment horizontal="center" vertical="center" wrapText="1"/>
    </xf>
    <xf numFmtId="17" fontId="42" fillId="20" borderId="2" xfId="9" applyNumberFormat="1" applyFont="1" applyFill="1" applyBorder="1" applyAlignment="1">
      <alignment horizontal="right" wrapText="1"/>
    </xf>
    <xf numFmtId="0" fontId="95" fillId="26" borderId="0" xfId="9" applyFont="1" applyFill="1" applyAlignment="1">
      <alignment horizontal="center" vertical="top" wrapText="1"/>
    </xf>
  </cellXfs>
  <cellStyles count="79">
    <cellStyle name="Hiperlink 2" xfId="41" xr:uid="{00000000-0005-0000-0000-000000000000}"/>
    <cellStyle name="Moeda 2" xfId="21" xr:uid="{00000000-0005-0000-0000-000002000000}"/>
    <cellStyle name="Moeda 2 2" xfId="71" xr:uid="{7061B6F3-7084-41B7-AF11-517A85123062}"/>
    <cellStyle name="Moeda 2 3" xfId="54" xr:uid="{144E0379-FC7D-4B14-B702-D0FFD14562BC}"/>
    <cellStyle name="Moeda 3" xfId="66" xr:uid="{53064BDB-30BA-4729-8500-7F467E15BBC6}"/>
    <cellStyle name="Moeda 4" xfId="59" xr:uid="{55BDACAB-B37A-4A37-936F-B1AE9B0C6118}"/>
    <cellStyle name="Normal" xfId="0" builtinId="0"/>
    <cellStyle name="Normal 2" xfId="5" xr:uid="{00000000-0005-0000-0000-000004000000}"/>
    <cellStyle name="Normal 2 2" xfId="25" xr:uid="{00000000-0005-0000-0000-000005000000}"/>
    <cellStyle name="Normal 2 2 2" xfId="34" xr:uid="{00000000-0005-0000-0000-000006000000}"/>
    <cellStyle name="Normal 2 3" xfId="2" xr:uid="{00000000-0005-0000-0000-000007000000}"/>
    <cellStyle name="Normal 2 4" xfId="12" xr:uid="{00000000-0005-0000-0000-000008000000}"/>
    <cellStyle name="Normal 2 5" xfId="30" xr:uid="{00000000-0005-0000-0000-000009000000}"/>
    <cellStyle name="Normal 2 5 2" xfId="9" xr:uid="{00000000-0005-0000-0000-00000A000000}"/>
    <cellStyle name="Normal 2 5 3" xfId="39" xr:uid="{00000000-0005-0000-0000-00000B000000}"/>
    <cellStyle name="Normal 2 5 3 2" xfId="63" xr:uid="{D7B454E9-5676-4C24-9AA1-1C40F08416F3}"/>
    <cellStyle name="Normal 2 6" xfId="15" xr:uid="{00000000-0005-0000-0000-00000C000000}"/>
    <cellStyle name="Normal 3" xfId="10" xr:uid="{00000000-0005-0000-0000-00000D000000}"/>
    <cellStyle name="Normal 4" xfId="36" xr:uid="{00000000-0005-0000-0000-00000E000000}"/>
    <cellStyle name="Normal 4 2" xfId="60" xr:uid="{02D31F80-A797-42C5-85E1-718EA2EBB3DB}"/>
    <cellStyle name="Normal 5" xfId="3" xr:uid="{00000000-0005-0000-0000-00000F000000}"/>
    <cellStyle name="Normal 6" xfId="75" xr:uid="{4CB585AD-D234-4386-9C86-DB53101B8727}"/>
    <cellStyle name="Normal 6 2" xfId="7" xr:uid="{00000000-0005-0000-0000-000010000000}"/>
    <cellStyle name="Normal 7" xfId="33" xr:uid="{00000000-0005-0000-0000-000011000000}"/>
    <cellStyle name="Normal 8" xfId="76" xr:uid="{69C6B9D5-7787-45D5-8A33-BD54622B1E58}"/>
    <cellStyle name="Normal 9" xfId="77" xr:uid="{4DDF8A9F-DF59-4E0B-A586-D700F8B8B3D1}"/>
    <cellStyle name="Porcentagem" xfId="24" builtinId="5"/>
    <cellStyle name="Porcentagem 2" xfId="38" xr:uid="{00000000-0005-0000-0000-000013000000}"/>
    <cellStyle name="Porcentagem 2 2" xfId="22" xr:uid="{00000000-0005-0000-0000-000014000000}"/>
    <cellStyle name="Porcentagem 2 2 2" xfId="72" xr:uid="{391D0D4C-4909-4FBC-9ADB-1E1373BE1635}"/>
    <cellStyle name="Porcentagem 2 2 3" xfId="55" xr:uid="{A2DA89AC-67BF-4EE7-A1A9-000269705F08}"/>
    <cellStyle name="Porcentagem 2 3" xfId="13" xr:uid="{00000000-0005-0000-0000-000015000000}"/>
    <cellStyle name="Porcentagem 2 3 2" xfId="27" xr:uid="{00000000-0005-0000-0000-000016000000}"/>
    <cellStyle name="Porcentagem 2 3 3" xfId="67" xr:uid="{D6D8D43B-E829-4481-8649-97ABD9A63733}"/>
    <cellStyle name="Porcentagem 2 3 4" xfId="49" xr:uid="{D1D11843-1663-4FBF-A2F0-5DD76272EFD0}"/>
    <cellStyle name="Porcentagem 2 4" xfId="62" xr:uid="{4F22128F-EBC0-4196-9756-045A29783A3E}"/>
    <cellStyle name="Porcentagem 3" xfId="20" xr:uid="{00000000-0005-0000-0000-000017000000}"/>
    <cellStyle name="Porcentagem 3 2" xfId="70" xr:uid="{9D53A1B9-D4A4-43D7-AEBF-AD579B5153AE}"/>
    <cellStyle name="Porcentagem 3 3" xfId="53" xr:uid="{BBC2A6EF-6A18-4C08-B12F-1B51B332A302}"/>
    <cellStyle name="Porcentagem 5" xfId="18" xr:uid="{00000000-0005-0000-0000-000018000000}"/>
    <cellStyle name="Porcentagem 5 2" xfId="28" xr:uid="{00000000-0005-0000-0000-000019000000}"/>
    <cellStyle name="Porcentagem 5 3" xfId="69" xr:uid="{E16377D9-F75B-4C9F-9788-4B236ECEB8F7}"/>
    <cellStyle name="Porcentagem 5 4" xfId="52" xr:uid="{C4469E20-21BA-412D-9356-7D6651A18EF5}"/>
    <cellStyle name="Vírgula" xfId="1" builtinId="3"/>
    <cellStyle name="Vírgula 2" xfId="6" xr:uid="{00000000-0005-0000-0000-00001B000000}"/>
    <cellStyle name="Vírgula 2 2" xfId="26" xr:uid="{00000000-0005-0000-0000-00001C000000}"/>
    <cellStyle name="Vírgula 2 2 2" xfId="14" xr:uid="{00000000-0005-0000-0000-00001D000000}"/>
    <cellStyle name="Vírgula 2 2 2 2" xfId="44" xr:uid="{10D8DF1C-6CC8-4C2C-8A6E-3668E742B1ED}"/>
    <cellStyle name="Vírgula 2 2 3" xfId="4" xr:uid="{00000000-0005-0000-0000-00001E000000}"/>
    <cellStyle name="Vírgula 2 2 3 2" xfId="74" xr:uid="{4E2C42E6-B33F-4C5E-BF43-200A528DE0A4}"/>
    <cellStyle name="Vírgula 2 2 3 3" xfId="47" xr:uid="{C576B832-A3C3-4122-9307-EC966C7E9847}"/>
    <cellStyle name="Vírgula 2 2 4" xfId="35" xr:uid="{00000000-0005-0000-0000-00001F000000}"/>
    <cellStyle name="Vírgula 2 2 5" xfId="57" xr:uid="{D04BF5C6-0ED1-4C39-B0FE-AC19C0E0333E}"/>
    <cellStyle name="Vírgula 2 3" xfId="11" xr:uid="{00000000-0005-0000-0000-000020000000}"/>
    <cellStyle name="Vírgula 2 3 2" xfId="48" xr:uid="{DFA9FCAF-3D91-4B8A-83C3-B28F2EEDCC48}"/>
    <cellStyle name="Vírgula 2 4" xfId="17" xr:uid="{00000000-0005-0000-0000-000021000000}"/>
    <cellStyle name="Vírgula 2 4 2" xfId="42" xr:uid="{00000000-0005-0000-0000-000022000000}"/>
    <cellStyle name="Vírgula 2 4 2 2" xfId="65" xr:uid="{D5C0C910-3FA9-416B-B3FF-30CA08FDCA3E}"/>
    <cellStyle name="Vírgula 2 4 3" xfId="68" xr:uid="{8D27289E-B4E3-4DED-8946-DE3DC2611951}"/>
    <cellStyle name="Vírgula 2 4 4" xfId="51" xr:uid="{7E69FB28-6F4F-4E2B-B2B1-C533627FDF8A}"/>
    <cellStyle name="Vírgula 2 5" xfId="8" xr:uid="{00000000-0005-0000-0000-000023000000}"/>
    <cellStyle name="Vírgula 2 5 2" xfId="32" xr:uid="{00000000-0005-0000-0000-000024000000}"/>
    <cellStyle name="Vírgula 2 6" xfId="43" xr:uid="{0A598033-5AFA-457B-AFD6-1FE46C0FE305}"/>
    <cellStyle name="Vírgula 3" xfId="31" xr:uid="{00000000-0005-0000-0000-000025000000}"/>
    <cellStyle name="Vírgula 3 2" xfId="23" xr:uid="{00000000-0005-0000-0000-000026000000}"/>
    <cellStyle name="Vírgula 3 2 2" xfId="73" xr:uid="{81E3722F-BBBB-4FBD-9A84-0BD36FBE467E}"/>
    <cellStyle name="Vírgula 3 2 3" xfId="56" xr:uid="{AFA9D9CF-D420-4117-8580-D9153D0B4F84}"/>
    <cellStyle name="Vírgula 4" xfId="19" xr:uid="{00000000-0005-0000-0000-000027000000}"/>
    <cellStyle name="Vírgula 4 2" xfId="40" xr:uid="{00000000-0005-0000-0000-000028000000}"/>
    <cellStyle name="Vírgula 4 2 2" xfId="64" xr:uid="{864F0E6A-CF7B-464B-888F-69AE90AA3DE6}"/>
    <cellStyle name="Vírgula 4 3" xfId="45" xr:uid="{8A9FBEF1-F9C4-48C4-9DFF-66924657F49B}"/>
    <cellStyle name="Vírgula 5" xfId="16" xr:uid="{00000000-0005-0000-0000-000029000000}"/>
    <cellStyle name="Vírgula 5 2" xfId="29" xr:uid="{00000000-0005-0000-0000-00002A000000}"/>
    <cellStyle name="Vírgula 5 2 2" xfId="58" xr:uid="{89C1AF23-F11C-4B46-BB59-28B2CC242B7E}"/>
    <cellStyle name="Vírgula 5 3" xfId="50" xr:uid="{D4EF71FE-FEBA-4FFA-AC39-B2BC5639DE09}"/>
    <cellStyle name="Vírgula 6" xfId="37" xr:uid="{00000000-0005-0000-0000-00002B000000}"/>
    <cellStyle name="Vírgula 6 2" xfId="61" xr:uid="{459F38A5-91EB-4924-A0B1-BF44DE29DC17}"/>
    <cellStyle name="Vírgula 7" xfId="46" xr:uid="{6F0EB0E2-4F99-4D86-9B8A-7178C9192FEF}"/>
    <cellStyle name="Vírgula 8" xfId="78" xr:uid="{A3629A5A-C517-46E8-88CC-616D72A5C10B}"/>
  </cellStyles>
  <dxfs count="11">
    <dxf>
      <numFmt numFmtId="0" formatCode="General"/>
    </dxf>
    <dxf>
      <numFmt numFmtId="0" formatCode="General"/>
    </dxf>
    <dxf>
      <numFmt numFmtId="7" formatCode="#,##0.00;\-#,##0.00"/>
    </dxf>
    <dxf>
      <numFmt numFmtId="7" formatCode="#,##0.00;\-#,##0.00"/>
      <alignment horizontal="general" vertical="bottom" textRotation="0" wrapText="0" indent="0" justifyLastLine="0" shrinkToFit="0" readingOrder="0"/>
    </dxf>
    <dxf>
      <numFmt numFmtId="7" formatCode="#,##0.00;\-#,##0.00"/>
    </dxf>
    <dxf>
      <numFmt numFmtId="176" formatCode="#,##0.00_);\(#,##0.00\)"/>
      <alignment horizontal="general" vertical="bottom" textRotation="0" wrapText="0" indent="0" justifyLastLine="0" shrinkToFit="0" readingOrder="0"/>
    </dxf>
    <dxf>
      <numFmt numFmtId="7" formatCode="#,##0.00;\-#,##0.00"/>
    </dxf>
    <dxf>
      <numFmt numFmtId="176" formatCode="#,##0.00_);\(#,##0.00\)"/>
      <alignment horizontal="general" vertical="bottom" textRotation="0" wrapText="0" indent="0" justifyLastLine="0" shrinkToFit="0" readingOrder="0"/>
    </dxf>
    <dxf>
      <alignment horizontal="center" vertical="bottom" textRotation="0" wrapText="0" indent="0" justifyLastLine="0" shrinkToFit="0" readingOrder="0"/>
    </dxf>
    <dxf>
      <alignment horizontal="center" textRotation="0" wrapText="0" indent="0" justifyLastLine="0" shrinkToFit="0" readingOrder="0"/>
    </dxf>
    <dxf>
      <font>
        <b/>
        <strike val="0"/>
        <outline val="0"/>
        <shadow val="0"/>
        <u val="none"/>
        <vertAlign val="baseline"/>
        <sz val="12"/>
        <color rgb="FF000000"/>
        <name val="Arial"/>
        <scheme val="none"/>
      </font>
      <alignment horizontal="center" vertical="bottom" textRotation="0" wrapText="0" indent="0" justifyLastLine="0" shrinkToFit="0" readingOrder="0"/>
    </dxf>
  </dxfs>
  <tableStyles count="0" defaultTableStyle="TableStyleMedium2" defaultPivotStyle="PivotStyleLight16"/>
  <colors>
    <mruColors>
      <color rgb="FF9FD8FF"/>
      <color rgb="FF0099FF"/>
      <color rgb="FFFF99FF"/>
      <color rgb="FFDB25B4"/>
      <color rgb="FF0000FF"/>
      <color rgb="FF0A6EDC"/>
      <color rgb="FF00A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emf"/><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11" Type="http://schemas.openxmlformats.org/officeDocument/2006/relationships/image" Target="../media/image15.png"/><Relationship Id="rId5" Type="http://schemas.openxmlformats.org/officeDocument/2006/relationships/image" Target="../media/image9.emf"/><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5.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image" Target="../media/image24.emf"/><Relationship Id="rId7" Type="http://schemas.openxmlformats.org/officeDocument/2006/relationships/image" Target="../media/image28.emf"/><Relationship Id="rId2" Type="http://schemas.openxmlformats.org/officeDocument/2006/relationships/image" Target="../media/image23.emf"/><Relationship Id="rId1" Type="http://schemas.openxmlformats.org/officeDocument/2006/relationships/image" Target="../media/image22.emf"/><Relationship Id="rId6" Type="http://schemas.openxmlformats.org/officeDocument/2006/relationships/image" Target="../media/image27.emf"/><Relationship Id="rId5" Type="http://schemas.openxmlformats.org/officeDocument/2006/relationships/image" Target="../media/image26.emf"/><Relationship Id="rId4" Type="http://schemas.openxmlformats.org/officeDocument/2006/relationships/image" Target="../media/image2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18.emf"/><Relationship Id="rId1" Type="http://schemas.openxmlformats.org/officeDocument/2006/relationships/image" Target="../media/image17.emf"/><Relationship Id="rId5" Type="http://schemas.openxmlformats.org/officeDocument/2006/relationships/image" Target="../media/image21.emf"/><Relationship Id="rId4" Type="http://schemas.openxmlformats.org/officeDocument/2006/relationships/image" Target="../media/image20.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8" Type="http://schemas.openxmlformats.org/officeDocument/2006/relationships/image" Target="../media/image37.emf"/><Relationship Id="rId3" Type="http://schemas.openxmlformats.org/officeDocument/2006/relationships/image" Target="../media/image32.emf"/><Relationship Id="rId7" Type="http://schemas.openxmlformats.org/officeDocument/2006/relationships/image" Target="../media/image36.emf"/><Relationship Id="rId2" Type="http://schemas.openxmlformats.org/officeDocument/2006/relationships/image" Target="../media/image31.emf"/><Relationship Id="rId1" Type="http://schemas.openxmlformats.org/officeDocument/2006/relationships/image" Target="../media/image30.emf"/><Relationship Id="rId6" Type="http://schemas.openxmlformats.org/officeDocument/2006/relationships/image" Target="../media/image35.emf"/><Relationship Id="rId5" Type="http://schemas.openxmlformats.org/officeDocument/2006/relationships/image" Target="../media/image34.emf"/><Relationship Id="rId4" Type="http://schemas.openxmlformats.org/officeDocument/2006/relationships/image" Target="../media/image33.emf"/></Relationships>
</file>

<file path=xl/drawings/drawing1.xml><?xml version="1.0" encoding="utf-8"?>
<xdr:wsDr xmlns:xdr="http://schemas.openxmlformats.org/drawingml/2006/spreadsheetDrawing" xmlns:a="http://schemas.openxmlformats.org/drawingml/2006/main">
  <xdr:twoCellAnchor>
    <xdr:from>
      <xdr:col>5</xdr:col>
      <xdr:colOff>623520</xdr:colOff>
      <xdr:row>29</xdr:row>
      <xdr:rowOff>164520</xdr:rowOff>
    </xdr:from>
    <xdr:to>
      <xdr:col>9</xdr:col>
      <xdr:colOff>207818</xdr:colOff>
      <xdr:row>40</xdr:row>
      <xdr:rowOff>38160</xdr:rowOff>
    </xdr:to>
    <xdr:sp macro="" textlink="">
      <xdr:nvSpPr>
        <xdr:cNvPr id="2" name="CaixaDeTexto 4">
          <a:extLst>
            <a:ext uri="{FF2B5EF4-FFF2-40B4-BE49-F238E27FC236}">
              <a16:creationId xmlns:a16="http://schemas.microsoft.com/office/drawing/2014/main" id="{00000000-0008-0000-0400-000002000000}"/>
            </a:ext>
          </a:extLst>
        </xdr:cNvPr>
        <xdr:cNvSpPr/>
      </xdr:nvSpPr>
      <xdr:spPr>
        <a:xfrm>
          <a:off x="4262070" y="5965245"/>
          <a:ext cx="3908648" cy="2073915"/>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4000" b="0" strike="noStrike" spc="-1">
              <a:solidFill>
                <a:schemeClr val="dk1"/>
              </a:solidFill>
              <a:latin typeface="Trebuchet MS"/>
              <a:ea typeface="Cambria"/>
            </a:rPr>
            <a:t>4º Trimestre de </a:t>
          </a:r>
          <a:r>
            <a:rPr lang="pt-BR" sz="7200" b="0" strike="noStrike" spc="-1">
              <a:solidFill>
                <a:schemeClr val="dk1"/>
              </a:solidFill>
              <a:latin typeface="Trebuchet MS"/>
              <a:ea typeface="Cambria"/>
            </a:rPr>
            <a:t>2025</a:t>
          </a:r>
          <a:endParaRPr lang="pt-BR" sz="7200" b="0" strike="noStrike" spc="-1">
            <a:latin typeface="Times New Roman"/>
          </a:endParaRPr>
        </a:p>
      </xdr:txBody>
    </xdr:sp>
    <xdr:clientData/>
  </xdr:twoCellAnchor>
  <xdr:twoCellAnchor>
    <xdr:from>
      <xdr:col>5</xdr:col>
      <xdr:colOff>518400</xdr:colOff>
      <xdr:row>43</xdr:row>
      <xdr:rowOff>1800</xdr:rowOff>
    </xdr:from>
    <xdr:to>
      <xdr:col>9</xdr:col>
      <xdr:colOff>534240</xdr:colOff>
      <xdr:row>50</xdr:row>
      <xdr:rowOff>32040</xdr:rowOff>
    </xdr:to>
    <xdr:sp macro="" textlink="">
      <xdr:nvSpPr>
        <xdr:cNvPr id="3" name="CaixaDeTexto 5">
          <a:extLst>
            <a:ext uri="{FF2B5EF4-FFF2-40B4-BE49-F238E27FC236}">
              <a16:creationId xmlns:a16="http://schemas.microsoft.com/office/drawing/2014/main" id="{00000000-0008-0000-0400-000003000000}"/>
            </a:ext>
          </a:extLst>
        </xdr:cNvPr>
        <xdr:cNvSpPr/>
      </xdr:nvSpPr>
      <xdr:spPr>
        <a:xfrm>
          <a:off x="4156950" y="8602875"/>
          <a:ext cx="4340190" cy="1430415"/>
        </a:xfrm>
        <a:prstGeom prst="rect">
          <a:avLst/>
        </a:prstGeom>
        <a:solidFill>
          <a:schemeClr val="lt1"/>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4000" b="0" strike="noStrike" spc="-1">
              <a:solidFill>
                <a:schemeClr val="dk1"/>
              </a:solidFill>
              <a:latin typeface="Trebuchet MS"/>
            </a:rPr>
            <a:t>DEMONSTRAÇÕES FINANCEIRAS</a:t>
          </a:r>
          <a:endParaRPr lang="pt-BR" sz="4000" b="0" strike="noStrike" spc="-1">
            <a:latin typeface="Times New Roman"/>
          </a:endParaRPr>
        </a:p>
      </xdr:txBody>
    </xdr:sp>
    <xdr:clientData/>
  </xdr:twoCellAnchor>
  <xdr:twoCellAnchor editAs="oneCell">
    <xdr:from>
      <xdr:col>0</xdr:col>
      <xdr:colOff>0</xdr:colOff>
      <xdr:row>3</xdr:row>
      <xdr:rowOff>121227</xdr:rowOff>
    </xdr:from>
    <xdr:to>
      <xdr:col>4</xdr:col>
      <xdr:colOff>259772</xdr:colOff>
      <xdr:row>59</xdr:row>
      <xdr:rowOff>121227</xdr:rowOff>
    </xdr:to>
    <xdr:pic>
      <xdr:nvPicPr>
        <xdr:cNvPr id="4" name="Imagem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21302"/>
          <a:ext cx="3269672" cy="11201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35</xdr:row>
      <xdr:rowOff>8280</xdr:rowOff>
    </xdr:from>
    <xdr:to>
      <xdr:col>9</xdr:col>
      <xdr:colOff>31920</xdr:colOff>
      <xdr:row>36</xdr:row>
      <xdr:rowOff>42118</xdr:rowOff>
    </xdr:to>
    <xdr:sp macro="" textlink="">
      <xdr:nvSpPr>
        <xdr:cNvPr id="2" name="CaixaDeTexto 1">
          <a:extLst>
            <a:ext uri="{FF2B5EF4-FFF2-40B4-BE49-F238E27FC236}">
              <a16:creationId xmlns:a16="http://schemas.microsoft.com/office/drawing/2014/main" id="{27D415C1-77AA-4703-8A07-67C5777E9C27}"/>
            </a:ext>
          </a:extLst>
        </xdr:cNvPr>
        <xdr:cNvSpPr/>
      </xdr:nvSpPr>
      <xdr:spPr>
        <a:xfrm>
          <a:off x="14601825" y="5856630"/>
          <a:ext cx="184320" cy="271963"/>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30</xdr:row>
      <xdr:rowOff>160200</xdr:rowOff>
    </xdr:from>
    <xdr:to>
      <xdr:col>5</xdr:col>
      <xdr:colOff>28800</xdr:colOff>
      <xdr:row>36</xdr:row>
      <xdr:rowOff>99000</xdr:rowOff>
    </xdr:to>
    <xdr:sp macro="" textlink="">
      <xdr:nvSpPr>
        <xdr:cNvPr id="2" name="Rectangle 14">
          <a:extLst>
            <a:ext uri="{FF2B5EF4-FFF2-40B4-BE49-F238E27FC236}">
              <a16:creationId xmlns:a16="http://schemas.microsoft.com/office/drawing/2014/main" id="{00000000-0008-0000-0900-000002000000}"/>
            </a:ext>
          </a:extLst>
        </xdr:cNvPr>
        <xdr:cNvSpPr/>
      </xdr:nvSpPr>
      <xdr:spPr>
        <a:xfrm>
          <a:off x="2105025" y="6732450"/>
          <a:ext cx="2152875" cy="113895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534</xdr:row>
          <xdr:rowOff>0</xdr:rowOff>
        </xdr:from>
        <xdr:to>
          <xdr:col>6</xdr:col>
          <xdr:colOff>66676</xdr:colOff>
          <xdr:row>540</xdr:row>
          <xdr:rowOff>104777</xdr:rowOff>
        </xdr:to>
        <xdr:pic>
          <xdr:nvPicPr>
            <xdr:cNvPr id="7" name="Imagem 6">
              <a:extLst>
                <a:ext uri="{FF2B5EF4-FFF2-40B4-BE49-F238E27FC236}">
                  <a16:creationId xmlns:a16="http://schemas.microsoft.com/office/drawing/2014/main" id="{14A8855F-96D3-B1CA-D074-D746188517AF}"/>
                </a:ext>
              </a:extLst>
            </xdr:cNvPr>
            <xdr:cNvPicPr>
              <a:picLocks noChangeAspect="1" noChangeArrowheads="1"/>
              <a:extLst>
                <a:ext uri="{84589F7E-364E-4C9E-8A38-B11213B215E9}">
                  <a14:cameraTool cellRange="$Q$535:$Y$541" spid="_x0000_s663349"/>
                </a:ext>
              </a:extLst>
            </xdr:cNvPicPr>
          </xdr:nvPicPr>
          <xdr:blipFill>
            <a:blip xmlns:r="http://schemas.openxmlformats.org/officeDocument/2006/relationships" r:embed="rId1"/>
            <a:srcRect/>
            <a:stretch>
              <a:fillRect/>
            </a:stretch>
          </xdr:blipFill>
          <xdr:spPr bwMode="auto">
            <a:xfrm>
              <a:off x="0" y="139798425"/>
              <a:ext cx="6515100" cy="13049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657</xdr:row>
          <xdr:rowOff>85725</xdr:rowOff>
        </xdr:from>
        <xdr:to>
          <xdr:col>6</xdr:col>
          <xdr:colOff>28576</xdr:colOff>
          <xdr:row>662</xdr:row>
          <xdr:rowOff>168524</xdr:rowOff>
        </xdr:to>
        <xdr:pic>
          <xdr:nvPicPr>
            <xdr:cNvPr id="6" name="Imagem 5">
              <a:extLst>
                <a:ext uri="{FF2B5EF4-FFF2-40B4-BE49-F238E27FC236}">
                  <a16:creationId xmlns:a16="http://schemas.microsoft.com/office/drawing/2014/main" id="{39F3E3CF-E6D0-A747-9CF9-AC8FE2BD8EEB}"/>
                </a:ext>
              </a:extLst>
            </xdr:cNvPr>
            <xdr:cNvPicPr>
              <a:picLocks noChangeAspect="1" noChangeArrowheads="1"/>
              <a:extLst>
                <a:ext uri="{84589F7E-364E-4C9E-8A38-B11213B215E9}">
                  <a14:cameraTool cellRange="$AX$658:$BN$663" spid="_x0000_s663350"/>
                </a:ext>
              </a:extLst>
            </xdr:cNvPicPr>
          </xdr:nvPicPr>
          <xdr:blipFill>
            <a:blip xmlns:r="http://schemas.openxmlformats.org/officeDocument/2006/relationships" r:embed="rId2"/>
            <a:srcRect/>
            <a:stretch>
              <a:fillRect/>
            </a:stretch>
          </xdr:blipFill>
          <xdr:spPr bwMode="auto">
            <a:xfrm>
              <a:off x="47625" y="181146450"/>
              <a:ext cx="6429375" cy="141629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9524</xdr:colOff>
          <xdr:row>668</xdr:row>
          <xdr:rowOff>28575</xdr:rowOff>
        </xdr:from>
        <xdr:to>
          <xdr:col>6</xdr:col>
          <xdr:colOff>57151</xdr:colOff>
          <xdr:row>684</xdr:row>
          <xdr:rowOff>180971</xdr:rowOff>
        </xdr:to>
        <xdr:pic>
          <xdr:nvPicPr>
            <xdr:cNvPr id="11" name="Imagem 10">
              <a:extLst>
                <a:ext uri="{FF2B5EF4-FFF2-40B4-BE49-F238E27FC236}">
                  <a16:creationId xmlns:a16="http://schemas.microsoft.com/office/drawing/2014/main" id="{41B57371-4382-84B6-1916-8CE83AED9408}"/>
                </a:ext>
              </a:extLst>
            </xdr:cNvPr>
            <xdr:cNvPicPr>
              <a:picLocks noChangeAspect="1" noChangeArrowheads="1"/>
              <a:extLst>
                <a:ext uri="{84589F7E-364E-4C9E-8A38-B11213B215E9}">
                  <a14:cameraTool cellRange="$BP$669:$BV$685" spid="_x0000_s663351"/>
                </a:ext>
              </a:extLst>
            </xdr:cNvPicPr>
          </xdr:nvPicPr>
          <xdr:blipFill>
            <a:blip xmlns:r="http://schemas.openxmlformats.org/officeDocument/2006/relationships" r:embed="rId3"/>
            <a:srcRect/>
            <a:stretch>
              <a:fillRect/>
            </a:stretch>
          </xdr:blipFill>
          <xdr:spPr bwMode="auto">
            <a:xfrm>
              <a:off x="9524" y="189595125"/>
              <a:ext cx="6496051" cy="353377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xdr:col>
      <xdr:colOff>1943099</xdr:colOff>
      <xdr:row>722</xdr:row>
      <xdr:rowOff>96092</xdr:rowOff>
    </xdr:from>
    <xdr:to>
      <xdr:col>2</xdr:col>
      <xdr:colOff>59028</xdr:colOff>
      <xdr:row>726</xdr:row>
      <xdr:rowOff>108498</xdr:rowOff>
    </xdr:to>
    <xdr:sp macro="" textlink="">
      <xdr:nvSpPr>
        <xdr:cNvPr id="2" name="Rectangle 5">
          <a:extLst>
            <a:ext uri="{FF2B5EF4-FFF2-40B4-BE49-F238E27FC236}">
              <a16:creationId xmlns:a16="http://schemas.microsoft.com/office/drawing/2014/main" id="{6449867E-BF4B-4401-BEF0-A354DEFC456E}"/>
            </a:ext>
          </a:extLst>
        </xdr:cNvPr>
        <xdr:cNvSpPr/>
      </xdr:nvSpPr>
      <xdr:spPr>
        <a:xfrm>
          <a:off x="1943099" y="188024342"/>
          <a:ext cx="2225286" cy="82883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27360" tIns="23040" rIns="27360" bIns="0" anchor="t" upright="1">
          <a:noAutofit/>
        </a:bodyPr>
        <a:lstStyle/>
        <a:p>
          <a:pPr algn="ctr">
            <a:lnSpc>
              <a:spcPct val="100000"/>
            </a:lnSpc>
            <a:tabLst>
              <a:tab pos="0" algn="l"/>
            </a:tabLst>
          </a:pPr>
          <a:r>
            <a:rPr lang="pt-BR" sz="1000" b="0" strike="noStrike" spc="-1">
              <a:latin typeface="Calibri"/>
            </a:rPr>
            <a:t>_____________________________</a:t>
          </a:r>
          <a:endParaRPr lang="pt-BR" sz="1000" b="0" strike="noStrike" spc="-1">
            <a:latin typeface="Times New Roman"/>
          </a:endParaRPr>
        </a:p>
        <a:p>
          <a:pPr algn="ctr">
            <a:lnSpc>
              <a:spcPct val="100000"/>
            </a:lnSpc>
            <a:tabLst>
              <a:tab pos="0" algn="l"/>
            </a:tabLst>
          </a:pPr>
          <a:r>
            <a:rPr lang="pt-BR" sz="1000" b="1" strike="noStrike" spc="-1">
              <a:latin typeface="Calibri"/>
            </a:rPr>
            <a:t>NICOLA MIRTO NETO</a:t>
          </a:r>
          <a:endParaRPr lang="pt-BR" sz="1000" b="0" strike="noStrike" spc="-1">
            <a:latin typeface="Times New Roman"/>
          </a:endParaRPr>
        </a:p>
        <a:p>
          <a:pPr algn="ctr">
            <a:lnSpc>
              <a:spcPct val="100000"/>
            </a:lnSpc>
            <a:tabLst>
              <a:tab pos="0" algn="l"/>
            </a:tabLst>
          </a:pPr>
          <a:r>
            <a:rPr lang="pt-BR" sz="1000" b="1" strike="noStrike" spc="-1">
              <a:latin typeface="Calibri"/>
            </a:rPr>
            <a:t>Diretor Comercial</a:t>
          </a:r>
          <a:endParaRPr lang="pt-BR" sz="1000" b="0" strike="noStrike" spc="-1">
            <a:latin typeface="Times New Roman"/>
          </a:endParaRPr>
        </a:p>
        <a:p>
          <a:pPr algn="ctr">
            <a:lnSpc>
              <a:spcPct val="100000"/>
            </a:lnSpc>
            <a:tabLst>
              <a:tab pos="0" algn="l"/>
            </a:tabLst>
          </a:pPr>
          <a:r>
            <a:rPr lang="pt-BR" sz="1000" b="0" strike="noStrike" spc="-1">
              <a:latin typeface="Calibri"/>
            </a:rPr>
            <a:t>CPF 141.248.308-58</a:t>
          </a:r>
          <a:endParaRPr lang="pt-BR" sz="1000" b="0" strike="noStrike" spc="-1">
            <a:latin typeface="Times New Roman"/>
          </a:endParaRPr>
        </a:p>
        <a:p>
          <a:pPr algn="ctr">
            <a:lnSpc>
              <a:spcPct val="100000"/>
            </a:lnSpc>
            <a:tabLst>
              <a:tab pos="0" algn="l"/>
            </a:tabLst>
          </a:pPr>
          <a:endParaRPr lang="pt-BR" sz="1000" b="0" strike="noStrike" spc="-1">
            <a:latin typeface="Times New Roman"/>
          </a:endParaRPr>
        </a:p>
        <a:p>
          <a:pPr algn="ctr">
            <a:lnSpc>
              <a:spcPct val="100000"/>
            </a:lnSpc>
            <a:tabLst>
              <a:tab pos="0" algn="l"/>
            </a:tabLst>
          </a:pPr>
          <a:endParaRPr lang="pt-BR" sz="1000" b="0" strike="noStrike" spc="-1">
            <a:latin typeface="Times New Roman"/>
          </a:endParaRPr>
        </a:p>
      </xdr:txBody>
    </xdr:sp>
    <xdr:clientData/>
  </xdr:twoCellAnchor>
  <xdr:twoCellAnchor>
    <xdr:from>
      <xdr:col>1</xdr:col>
      <xdr:colOff>0</xdr:colOff>
      <xdr:row>722</xdr:row>
      <xdr:rowOff>105617</xdr:rowOff>
    </xdr:from>
    <xdr:to>
      <xdr:col>1</xdr:col>
      <xdr:colOff>2000250</xdr:colOff>
      <xdr:row>726</xdr:row>
      <xdr:rowOff>118023</xdr:rowOff>
    </xdr:to>
    <xdr:sp macro="" textlink="">
      <xdr:nvSpPr>
        <xdr:cNvPr id="14" name="Text Box 17">
          <a:extLst>
            <a:ext uri="{FF2B5EF4-FFF2-40B4-BE49-F238E27FC236}">
              <a16:creationId xmlns:a16="http://schemas.microsoft.com/office/drawing/2014/main" id="{0AB78F91-D318-4387-9C98-8CB43C94C954}"/>
            </a:ext>
          </a:extLst>
        </xdr:cNvPr>
        <xdr:cNvSpPr/>
      </xdr:nvSpPr>
      <xdr:spPr>
        <a:xfrm>
          <a:off x="0" y="188033867"/>
          <a:ext cx="2000250" cy="828835"/>
        </a:xfrm>
        <a:prstGeom prst="rect">
          <a:avLst/>
        </a:prstGeom>
        <a:solidFill>
          <a:sysClr val="window" lastClr="FFFFFF"/>
        </a:solid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ct val="100000"/>
            </a:lnSpc>
          </a:pPr>
          <a:r>
            <a:rPr lang="pt-BR" sz="1000" b="0" strike="noStrike" spc="-1">
              <a:solidFill>
                <a:srgbClr val="000000"/>
              </a:solidFill>
              <a:latin typeface="Calibri"/>
            </a:rPr>
            <a:t>_____________________________</a:t>
          </a:r>
          <a:endParaRPr lang="pt-BR" sz="1000" b="0" strike="noStrike" spc="-1">
            <a:latin typeface="Times New Roman"/>
          </a:endParaRPr>
        </a:p>
        <a:p>
          <a:pPr algn="ctr">
            <a:lnSpc>
              <a:spcPct val="100000"/>
            </a:lnSpc>
            <a:tabLst>
              <a:tab pos="0" algn="l"/>
            </a:tabLst>
          </a:pPr>
          <a:r>
            <a:rPr lang="pt-BR" sz="1000">
              <a:solidFill>
                <a:srgbClr val="FF0000"/>
              </a:solidFill>
            </a:rPr>
            <a:t>MAURICIO PESSOA...</a:t>
          </a:r>
        </a:p>
        <a:p>
          <a:pPr algn="ctr">
            <a:lnSpc>
              <a:spcPct val="100000"/>
            </a:lnSpc>
            <a:tabLst>
              <a:tab pos="0" algn="l"/>
            </a:tabLst>
          </a:pPr>
          <a:r>
            <a:rPr lang="pt-BR" sz="1000" b="1" strike="noStrike" spc="-1">
              <a:solidFill>
                <a:sysClr val="windowText" lastClr="000000"/>
              </a:solidFill>
              <a:latin typeface="Calibri"/>
            </a:rPr>
            <a:t>Diretor Administrativo</a:t>
          </a:r>
          <a:endParaRPr lang="pt-BR" sz="1000" b="0" strike="noStrike" spc="-1">
            <a:solidFill>
              <a:sysClr val="windowText" lastClr="000000"/>
            </a:solidFill>
            <a:latin typeface="Times New Roman"/>
          </a:endParaRPr>
        </a:p>
        <a:p>
          <a:pPr algn="ctr">
            <a:lnSpc>
              <a:spcPct val="100000"/>
            </a:lnSpc>
            <a:tabLst>
              <a:tab pos="0" algn="l"/>
            </a:tabLst>
          </a:pPr>
          <a:r>
            <a:rPr lang="pt-BR" sz="1000" b="0" strike="noStrike" spc="-1">
              <a:solidFill>
                <a:sysClr val="windowText" lastClr="000000"/>
              </a:solidFill>
              <a:latin typeface="Calibri"/>
            </a:rPr>
            <a:t>CPF </a:t>
          </a:r>
          <a:r>
            <a:rPr lang="pt-BR" sz="1000" b="0" i="0" baseline="0">
              <a:solidFill>
                <a:srgbClr val="FF0000"/>
              </a:solidFill>
              <a:effectLst/>
              <a:latin typeface="+mn-lt"/>
              <a:ea typeface="+mn-ea"/>
              <a:cs typeface="+mn-cs"/>
            </a:rPr>
            <a:t>028.243.807-64</a:t>
          </a:r>
          <a:endParaRPr lang="pt-BR" sz="1000" b="0" strike="noStrike" spc="-1">
            <a:solidFill>
              <a:srgbClr val="FF0000"/>
            </a:solidFill>
            <a:latin typeface="Times New Roman"/>
          </a:endParaRPr>
        </a:p>
        <a:p>
          <a:pPr algn="ctr">
            <a:lnSpc>
              <a:spcPct val="100000"/>
            </a:lnSpc>
            <a:tabLst>
              <a:tab pos="0" algn="l"/>
            </a:tabLst>
          </a:pPr>
          <a:endParaRPr lang="pt-BR" sz="1000" b="0" strike="noStrike" spc="-1">
            <a:latin typeface="Times New Roman"/>
          </a:endParaRPr>
        </a:p>
      </xdr:txBody>
    </xdr:sp>
    <xdr:clientData/>
  </xdr:twoCellAnchor>
  <xdr:twoCellAnchor>
    <xdr:from>
      <xdr:col>1</xdr:col>
      <xdr:colOff>1733341</xdr:colOff>
      <xdr:row>728</xdr:row>
      <xdr:rowOff>196489</xdr:rowOff>
    </xdr:from>
    <xdr:to>
      <xdr:col>3</xdr:col>
      <xdr:colOff>231845</xdr:colOff>
      <xdr:row>733</xdr:row>
      <xdr:rowOff>4786</xdr:rowOff>
    </xdr:to>
    <xdr:sp macro="" textlink="">
      <xdr:nvSpPr>
        <xdr:cNvPr id="15" name="Text Box 19">
          <a:extLst>
            <a:ext uri="{FF2B5EF4-FFF2-40B4-BE49-F238E27FC236}">
              <a16:creationId xmlns:a16="http://schemas.microsoft.com/office/drawing/2014/main" id="{1C4D9E65-D06E-4856-B334-5058E2C1EF66}"/>
            </a:ext>
          </a:extLst>
        </xdr:cNvPr>
        <xdr:cNvSpPr/>
      </xdr:nvSpPr>
      <xdr:spPr>
        <a:xfrm>
          <a:off x="1733341" y="189349382"/>
          <a:ext cx="2689504" cy="828833"/>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ts val="1100"/>
            </a:lnSpc>
            <a:tabLst>
              <a:tab pos="0" algn="l"/>
            </a:tabLst>
          </a:pPr>
          <a:r>
            <a:rPr lang="pt-BR" sz="1000" b="0" strike="noStrike" spc="-1">
              <a:latin typeface="Calibri"/>
            </a:rPr>
            <a:t>______________________________________</a:t>
          </a:r>
          <a:endParaRPr lang="pt-BR" sz="1000" b="0" strike="noStrike" spc="-1">
            <a:latin typeface="Times New Roman"/>
          </a:endParaRPr>
        </a:p>
        <a:p>
          <a:pPr algn="ctr" eaLnBrk="1" fontAlgn="auto" latinLnBrk="0" hangingPunct="1"/>
          <a:r>
            <a:rPr lang="pt-BR" sz="1000" b="1">
              <a:effectLst/>
              <a:latin typeface="+mn-lt"/>
              <a:ea typeface="+mn-ea"/>
              <a:cs typeface="+mn-cs"/>
            </a:rPr>
            <a:t>ROSÂNGELA</a:t>
          </a:r>
          <a:r>
            <a:rPr lang="pt-BR" sz="1000" b="1" baseline="0">
              <a:effectLst/>
              <a:latin typeface="+mn-lt"/>
              <a:ea typeface="+mn-ea"/>
              <a:cs typeface="+mn-cs"/>
            </a:rPr>
            <a:t> VIEIRA PAES DA SILVA</a:t>
          </a:r>
          <a:endParaRPr lang="pt-BR" sz="1000">
            <a:effectLst/>
          </a:endParaRPr>
        </a:p>
        <a:p>
          <a:pPr algn="ctr"/>
          <a:r>
            <a:rPr lang="pt-BR" sz="1000" b="1">
              <a:effectLst/>
              <a:latin typeface="+mn-lt"/>
              <a:ea typeface="+mn-ea"/>
              <a:cs typeface="+mn-cs"/>
            </a:rPr>
            <a:t>Gerente de Contabilidade  </a:t>
          </a:r>
        </a:p>
        <a:p>
          <a:pPr marL="0" marR="0" lvl="0" indent="0" algn="ctr" defTabSz="914400" eaLnBrk="1" fontAlgn="auto" latinLnBrk="0" hangingPunct="1">
            <a:lnSpc>
              <a:spcPct val="100000"/>
            </a:lnSpc>
            <a:spcBef>
              <a:spcPts val="0"/>
            </a:spcBef>
            <a:spcAft>
              <a:spcPts val="0"/>
            </a:spcAft>
            <a:buClrTx/>
            <a:buSzTx/>
            <a:buFontTx/>
            <a:buNone/>
            <a:tabLst/>
            <a:defRPr/>
          </a:pPr>
          <a:r>
            <a:rPr lang="pt-BR" sz="1100" b="0">
              <a:effectLst/>
              <a:latin typeface="+mn-lt"/>
              <a:ea typeface="+mn-ea"/>
              <a:cs typeface="+mn-cs"/>
            </a:rPr>
            <a:t>CRC-RJ 084.188/O-4 </a:t>
          </a:r>
        </a:p>
        <a:p>
          <a:pPr marL="0" marR="0" lvl="0" indent="0" algn="ctr" defTabSz="914400" eaLnBrk="1" fontAlgn="auto" latinLnBrk="0" hangingPunct="1">
            <a:lnSpc>
              <a:spcPct val="100000"/>
            </a:lnSpc>
            <a:spcBef>
              <a:spcPts val="0"/>
            </a:spcBef>
            <a:spcAft>
              <a:spcPts val="0"/>
            </a:spcAft>
            <a:buClrTx/>
            <a:buSzTx/>
            <a:buFontTx/>
            <a:buNone/>
            <a:tabLst/>
            <a:defRPr/>
          </a:pPr>
          <a:r>
            <a:rPr lang="pt-BR" sz="1000">
              <a:effectLst/>
            </a:rPr>
            <a:t>CPF 038.333.037-86</a:t>
          </a:r>
        </a:p>
        <a:p>
          <a:pPr algn="ctr"/>
          <a:endParaRPr lang="pt-BR" sz="1000" b="0">
            <a:effectLst/>
          </a:endParaRPr>
        </a:p>
        <a:p>
          <a:pPr algn="ctr">
            <a:lnSpc>
              <a:spcPts val="1199"/>
            </a:lnSpc>
            <a:tabLst>
              <a:tab pos="0" algn="l"/>
            </a:tabLst>
          </a:pPr>
          <a:endParaRPr lang="pt-BR" sz="1000" b="0" strike="noStrike" spc="-1">
            <a:latin typeface="Times New Roman"/>
          </a:endParaRPr>
        </a:p>
      </xdr:txBody>
    </xdr:sp>
    <xdr:clientData/>
  </xdr:twoCellAnchor>
  <xdr:twoCellAnchor>
    <xdr:from>
      <xdr:col>2</xdr:col>
      <xdr:colOff>32531</xdr:colOff>
      <xdr:row>722</xdr:row>
      <xdr:rowOff>105617</xdr:rowOff>
    </xdr:from>
    <xdr:to>
      <xdr:col>6</xdr:col>
      <xdr:colOff>28575</xdr:colOff>
      <xdr:row>726</xdr:row>
      <xdr:rowOff>118023</xdr:rowOff>
    </xdr:to>
    <xdr:sp macro="" textlink="">
      <xdr:nvSpPr>
        <xdr:cNvPr id="16" name="Rectangle 15">
          <a:extLst>
            <a:ext uri="{FF2B5EF4-FFF2-40B4-BE49-F238E27FC236}">
              <a16:creationId xmlns:a16="http://schemas.microsoft.com/office/drawing/2014/main" id="{C22DB2B0-EAE4-47C6-B836-E499FC68A4FC}"/>
            </a:ext>
          </a:extLst>
        </xdr:cNvPr>
        <xdr:cNvSpPr/>
      </xdr:nvSpPr>
      <xdr:spPr>
        <a:xfrm>
          <a:off x="4141888" y="188033867"/>
          <a:ext cx="2336473" cy="82883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ct val="100000"/>
            </a:lnSpc>
            <a:tabLst>
              <a:tab pos="0" algn="l"/>
            </a:tabLst>
          </a:pPr>
          <a:r>
            <a:rPr lang="pt-BR" sz="1000" b="0" strike="noStrike" spc="-1">
              <a:latin typeface="Calibri"/>
            </a:rPr>
            <a:t>_________________________________</a:t>
          </a:r>
          <a:endParaRPr lang="pt-BR" sz="1000" b="0" strike="noStrike" spc="-1">
            <a:latin typeface="Times New Roman"/>
          </a:endParaRPr>
        </a:p>
        <a:p>
          <a:pPr algn="ctr">
            <a:lnSpc>
              <a:spcPct val="100000"/>
            </a:lnSpc>
            <a:tabLst>
              <a:tab pos="0" algn="l"/>
            </a:tabLst>
          </a:pPr>
          <a:r>
            <a:rPr lang="pt-BR" sz="1000" b="1" i="0" u="none" strike="noStrike" baseline="0">
              <a:latin typeface="+mn-lt"/>
              <a:ea typeface="+mn-ea"/>
              <a:cs typeface="+mn-cs"/>
            </a:rPr>
            <a:t>ALEXANDRE VIANNA SANTANA </a:t>
          </a:r>
        </a:p>
        <a:p>
          <a:pPr algn="ctr">
            <a:lnSpc>
              <a:spcPct val="100000"/>
            </a:lnSpc>
            <a:tabLst>
              <a:tab pos="0" algn="l"/>
            </a:tabLst>
          </a:pPr>
          <a:r>
            <a:rPr lang="pt-BR" sz="1000" b="1" i="0" u="none" strike="noStrike" baseline="0">
              <a:latin typeface="+mn-lt"/>
              <a:ea typeface="+mn-ea"/>
              <a:cs typeface="+mn-cs"/>
            </a:rPr>
            <a:t>Diretor Industrial </a:t>
          </a:r>
        </a:p>
        <a:p>
          <a:pPr algn="ctr">
            <a:lnSpc>
              <a:spcPct val="100000"/>
            </a:lnSpc>
            <a:tabLst>
              <a:tab pos="0" algn="l"/>
            </a:tabLst>
          </a:pPr>
          <a:r>
            <a:rPr lang="pt-BR" sz="1000" b="0" i="0" u="none" strike="noStrike" baseline="0">
              <a:latin typeface="+mn-lt"/>
              <a:ea typeface="+mn-ea"/>
              <a:cs typeface="+mn-cs"/>
            </a:rPr>
            <a:t>CPF 028.243.807-64</a:t>
          </a:r>
          <a:r>
            <a:rPr lang="pt-BR" sz="1100" b="0" i="0" u="none" strike="noStrike" baseline="0">
              <a:latin typeface="+mn-lt"/>
              <a:ea typeface="+mn-ea"/>
              <a:cs typeface="+mn-cs"/>
            </a:rPr>
            <a:t> </a:t>
          </a:r>
          <a:endParaRPr lang="pt-BR" sz="1000" b="0" strike="noStrike" spc="-1">
            <a:latin typeface="Times New Roman"/>
          </a:endParaRPr>
        </a:p>
      </xdr:txBody>
    </xdr:sp>
    <xdr:clientData/>
  </xdr:twoCellAnchor>
  <xdr:twoCellAnchor>
    <xdr:from>
      <xdr:col>1</xdr:col>
      <xdr:colOff>1997820</xdr:colOff>
      <xdr:row>716</xdr:row>
      <xdr:rowOff>73478</xdr:rowOff>
    </xdr:from>
    <xdr:to>
      <xdr:col>3</xdr:col>
      <xdr:colOff>123826</xdr:colOff>
      <xdr:row>720</xdr:row>
      <xdr:rowOff>85883</xdr:rowOff>
    </xdr:to>
    <xdr:sp macro="" textlink="">
      <xdr:nvSpPr>
        <xdr:cNvPr id="17" name="Rectangle 15">
          <a:extLst>
            <a:ext uri="{FF2B5EF4-FFF2-40B4-BE49-F238E27FC236}">
              <a16:creationId xmlns:a16="http://schemas.microsoft.com/office/drawing/2014/main" id="{5DFCE0FB-AF91-48D1-B9F0-8BD199C94A40}"/>
            </a:ext>
          </a:extLst>
        </xdr:cNvPr>
        <xdr:cNvSpPr/>
      </xdr:nvSpPr>
      <xdr:spPr>
        <a:xfrm>
          <a:off x="1997820" y="186777085"/>
          <a:ext cx="2317006" cy="828834"/>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ctr" upright="1">
          <a:noAutofit/>
        </a:bodyPr>
        <a:lstStyle/>
        <a:p>
          <a:pPr algn="ctr">
            <a:lnSpc>
              <a:spcPct val="100000"/>
            </a:lnSpc>
          </a:pPr>
          <a:r>
            <a:rPr lang="pt-BR" sz="1000" b="0" strike="noStrike" spc="-1">
              <a:solidFill>
                <a:srgbClr val="000000"/>
              </a:solidFill>
              <a:latin typeface="Calibri"/>
            </a:rPr>
            <a:t>_________________________________</a:t>
          </a:r>
          <a:endParaRPr lang="pt-BR" sz="1000" b="0" strike="noStrike" spc="-1">
            <a:latin typeface="Times New Roman"/>
          </a:endParaRPr>
        </a:p>
        <a:p>
          <a:pPr algn="ctr"/>
          <a:r>
            <a:rPr lang="pt-BR" sz="1000" b="1" i="0" baseline="0">
              <a:solidFill>
                <a:srgbClr val="FF0000"/>
              </a:solidFill>
              <a:effectLst/>
              <a:latin typeface="+mn-lt"/>
              <a:ea typeface="+mn-ea"/>
              <a:cs typeface="+mn-cs"/>
            </a:rPr>
            <a:t>Adeilson Telles .... </a:t>
          </a:r>
          <a:endParaRPr lang="pt-BR" sz="1000">
            <a:solidFill>
              <a:srgbClr val="FF0000"/>
            </a:solidFill>
            <a:effectLst/>
          </a:endParaRPr>
        </a:p>
        <a:p>
          <a:pPr algn="ctr"/>
          <a:r>
            <a:rPr lang="pt-BR" sz="1100" b="1" i="0" baseline="0">
              <a:effectLst/>
              <a:latin typeface="+mn-lt"/>
              <a:ea typeface="+mn-ea"/>
              <a:cs typeface="+mn-cs"/>
            </a:rPr>
            <a:t>Presidente</a:t>
          </a:r>
          <a:endParaRPr lang="pt-BR" sz="1000">
            <a:effectLst/>
          </a:endParaRPr>
        </a:p>
        <a:p>
          <a:pPr algn="ctr"/>
          <a:r>
            <a:rPr lang="pt-BR" sz="1100" b="0" i="0" baseline="0">
              <a:effectLst/>
              <a:latin typeface="+mn-lt"/>
              <a:ea typeface="+mn-ea"/>
              <a:cs typeface="+mn-cs"/>
            </a:rPr>
            <a:t>CPF </a:t>
          </a:r>
          <a:r>
            <a:rPr lang="pt-BR" sz="1100" b="0" i="0" baseline="0">
              <a:solidFill>
                <a:srgbClr val="FF0000"/>
              </a:solidFill>
              <a:effectLst/>
              <a:latin typeface="+mn-lt"/>
              <a:ea typeface="+mn-ea"/>
              <a:cs typeface="+mn-cs"/>
            </a:rPr>
            <a:t>028.243.807-64</a:t>
          </a:r>
          <a:r>
            <a:rPr lang="pt-BR" sz="1100" b="0" i="0" baseline="0">
              <a:effectLst/>
              <a:latin typeface="+mn-lt"/>
              <a:ea typeface="+mn-ea"/>
              <a:cs typeface="+mn-cs"/>
            </a:rPr>
            <a:t> </a:t>
          </a:r>
          <a:endParaRPr lang="pt-BR" sz="1000">
            <a:effectLst/>
          </a:endParaRPr>
        </a:p>
        <a:p>
          <a:pPr algn="ctr">
            <a:lnSpc>
              <a:spcPct val="100000"/>
            </a:lnSpc>
          </a:pPr>
          <a:endParaRPr lang="pt-BR" sz="1000" b="0" strike="noStrike" spc="-1">
            <a:latin typeface="Times New Roman"/>
          </a:endParaRPr>
        </a:p>
      </xdr:txBody>
    </xdr:sp>
    <xdr:clientData/>
  </xdr:twoCellAnchor>
  <xdr:twoCellAnchor editAs="oneCell">
    <xdr:from>
      <xdr:col>34</xdr:col>
      <xdr:colOff>171450</xdr:colOff>
      <xdr:row>326</xdr:row>
      <xdr:rowOff>1209675</xdr:rowOff>
    </xdr:from>
    <xdr:to>
      <xdr:col>38</xdr:col>
      <xdr:colOff>352426</xdr:colOff>
      <xdr:row>332</xdr:row>
      <xdr:rowOff>171618</xdr:rowOff>
    </xdr:to>
    <xdr:pic>
      <xdr:nvPicPr>
        <xdr:cNvPr id="8" name="Imagem 7">
          <a:extLst>
            <a:ext uri="{FF2B5EF4-FFF2-40B4-BE49-F238E27FC236}">
              <a16:creationId xmlns:a16="http://schemas.microsoft.com/office/drawing/2014/main" id="{34483BF2-3734-84AF-B902-E07C1C157A47}"/>
            </a:ext>
          </a:extLst>
        </xdr:cNvPr>
        <xdr:cNvPicPr>
          <a:picLocks noChangeAspect="1"/>
        </xdr:cNvPicPr>
      </xdr:nvPicPr>
      <xdr:blipFill>
        <a:blip xmlns:r="http://schemas.openxmlformats.org/officeDocument/2006/relationships" r:embed="rId4"/>
        <a:stretch>
          <a:fillRect/>
        </a:stretch>
      </xdr:blipFill>
      <xdr:spPr>
        <a:xfrm>
          <a:off x="21164550" y="81962625"/>
          <a:ext cx="2095500" cy="121937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1133475</xdr:colOff>
          <xdr:row>373</xdr:row>
          <xdr:rowOff>95250</xdr:rowOff>
        </xdr:from>
        <xdr:to>
          <xdr:col>3</xdr:col>
          <xdr:colOff>571500</xdr:colOff>
          <xdr:row>380</xdr:row>
          <xdr:rowOff>95249</xdr:rowOff>
        </xdr:to>
        <xdr:pic>
          <xdr:nvPicPr>
            <xdr:cNvPr id="5" name="Imagem 4">
              <a:extLst>
                <a:ext uri="{FF2B5EF4-FFF2-40B4-BE49-F238E27FC236}">
                  <a16:creationId xmlns:a16="http://schemas.microsoft.com/office/drawing/2014/main" id="{FD93F93E-6C47-DC58-E7CF-879445C65067}"/>
                </a:ext>
              </a:extLst>
            </xdr:cNvPr>
            <xdr:cNvPicPr>
              <a:picLocks noChangeAspect="1" noChangeArrowheads="1"/>
              <a:extLst>
                <a:ext uri="{84589F7E-364E-4C9E-8A38-B11213B215E9}">
                  <a14:cameraTool cellRange="$AM$374:$AO$380" spid="_x0000_s663352"/>
                </a:ext>
              </a:extLst>
            </xdr:cNvPicPr>
          </xdr:nvPicPr>
          <xdr:blipFill>
            <a:blip xmlns:r="http://schemas.openxmlformats.org/officeDocument/2006/relationships" r:embed="rId5"/>
            <a:srcRect/>
            <a:stretch>
              <a:fillRect/>
            </a:stretch>
          </xdr:blipFill>
          <xdr:spPr bwMode="auto">
            <a:xfrm>
              <a:off x="1133475" y="97716975"/>
              <a:ext cx="3876675" cy="1600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47285</xdr:colOff>
          <xdr:row>170</xdr:row>
          <xdr:rowOff>101305</xdr:rowOff>
        </xdr:from>
        <xdr:to>
          <xdr:col>6</xdr:col>
          <xdr:colOff>25516</xdr:colOff>
          <xdr:row>179</xdr:row>
          <xdr:rowOff>20749</xdr:rowOff>
        </xdr:to>
        <xdr:pic>
          <xdr:nvPicPr>
            <xdr:cNvPr id="22" name="Imagem 21">
              <a:extLst>
                <a:ext uri="{FF2B5EF4-FFF2-40B4-BE49-F238E27FC236}">
                  <a16:creationId xmlns:a16="http://schemas.microsoft.com/office/drawing/2014/main" id="{57FA166F-6D24-1CE4-0E07-7E8D793D1E12}"/>
                </a:ext>
              </a:extLst>
            </xdr:cNvPr>
            <xdr:cNvPicPr>
              <a:picLocks noChangeAspect="1" noChangeArrowheads="1"/>
              <a:extLst>
                <a:ext uri="{84589F7E-364E-4C9E-8A38-B11213B215E9}">
                  <a14:cameraTool cellRange="$BX$171:$CL$181" spid="_x0000_s663353"/>
                </a:ext>
              </a:extLst>
            </xdr:cNvPicPr>
          </xdr:nvPicPr>
          <xdr:blipFill>
            <a:blip xmlns:r="http://schemas.openxmlformats.org/officeDocument/2006/relationships" r:embed="rId6"/>
            <a:srcRect/>
            <a:stretch>
              <a:fillRect/>
            </a:stretch>
          </xdr:blipFill>
          <xdr:spPr bwMode="auto">
            <a:xfrm>
              <a:off x="211808" y="51536305"/>
              <a:ext cx="6420594" cy="201494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editAs="oneCell">
    <xdr:from>
      <xdr:col>1</xdr:col>
      <xdr:colOff>7938</xdr:colOff>
      <xdr:row>313</xdr:row>
      <xdr:rowOff>15875</xdr:rowOff>
    </xdr:from>
    <xdr:to>
      <xdr:col>7</xdr:col>
      <xdr:colOff>51710</xdr:colOff>
      <xdr:row>317</xdr:row>
      <xdr:rowOff>101778</xdr:rowOff>
    </xdr:to>
    <xdr:pic>
      <xdr:nvPicPr>
        <xdr:cNvPr id="21" name="Imagem 20">
          <a:extLst>
            <a:ext uri="{FF2B5EF4-FFF2-40B4-BE49-F238E27FC236}">
              <a16:creationId xmlns:a16="http://schemas.microsoft.com/office/drawing/2014/main" id="{B12D3DFF-D380-A7A0-1FE8-A46032BB1D2C}"/>
            </a:ext>
          </a:extLst>
        </xdr:cNvPr>
        <xdr:cNvPicPr>
          <a:picLocks noChangeAspect="1"/>
        </xdr:cNvPicPr>
      </xdr:nvPicPr>
      <xdr:blipFill>
        <a:blip xmlns:r="http://schemas.openxmlformats.org/officeDocument/2006/relationships" r:embed="rId7"/>
        <a:stretch>
          <a:fillRect/>
        </a:stretch>
      </xdr:blipFill>
      <xdr:spPr>
        <a:xfrm>
          <a:off x="166688" y="92868750"/>
          <a:ext cx="6584272" cy="879653"/>
        </a:xfrm>
        <a:prstGeom prst="rect">
          <a:avLst/>
        </a:prstGeom>
      </xdr:spPr>
    </xdr:pic>
    <xdr:clientData/>
  </xdr:twoCellAnchor>
  <xdr:twoCellAnchor editAs="oneCell">
    <xdr:from>
      <xdr:col>1</xdr:col>
      <xdr:colOff>9525</xdr:colOff>
      <xdr:row>327</xdr:row>
      <xdr:rowOff>9525</xdr:rowOff>
    </xdr:from>
    <xdr:to>
      <xdr:col>6</xdr:col>
      <xdr:colOff>73849</xdr:colOff>
      <xdr:row>334</xdr:row>
      <xdr:rowOff>161925</xdr:rowOff>
    </xdr:to>
    <xdr:pic>
      <xdr:nvPicPr>
        <xdr:cNvPr id="9" name="Imagem 8">
          <a:extLst>
            <a:ext uri="{FF2B5EF4-FFF2-40B4-BE49-F238E27FC236}">
              <a16:creationId xmlns:a16="http://schemas.microsoft.com/office/drawing/2014/main" id="{86E5A84B-A231-3932-BAAD-E50850FC8AFE}"/>
            </a:ext>
          </a:extLst>
        </xdr:cNvPr>
        <xdr:cNvPicPr>
          <a:picLocks noChangeAspect="1"/>
        </xdr:cNvPicPr>
      </xdr:nvPicPr>
      <xdr:blipFill>
        <a:blip xmlns:r="http://schemas.openxmlformats.org/officeDocument/2006/relationships" r:embed="rId8"/>
        <a:stretch>
          <a:fillRect/>
        </a:stretch>
      </xdr:blipFill>
      <xdr:spPr>
        <a:xfrm>
          <a:off x="171450" y="99031425"/>
          <a:ext cx="6512749" cy="1552575"/>
        </a:xfrm>
        <a:prstGeom prst="rect">
          <a:avLst/>
        </a:prstGeom>
      </xdr:spPr>
    </xdr:pic>
    <xdr:clientData/>
  </xdr:twoCellAnchor>
  <xdr:twoCellAnchor editAs="oneCell">
    <xdr:from>
      <xdr:col>1</xdr:col>
      <xdr:colOff>0</xdr:colOff>
      <xdr:row>613</xdr:row>
      <xdr:rowOff>154686</xdr:rowOff>
    </xdr:from>
    <xdr:to>
      <xdr:col>6</xdr:col>
      <xdr:colOff>66675</xdr:colOff>
      <xdr:row>622</xdr:row>
      <xdr:rowOff>152665</xdr:rowOff>
    </xdr:to>
    <xdr:pic>
      <xdr:nvPicPr>
        <xdr:cNvPr id="10" name="Imagem 9">
          <a:extLst>
            <a:ext uri="{FF2B5EF4-FFF2-40B4-BE49-F238E27FC236}">
              <a16:creationId xmlns:a16="http://schemas.microsoft.com/office/drawing/2014/main" id="{45D54640-E804-6E64-1689-334E38F4F644}"/>
            </a:ext>
          </a:extLst>
        </xdr:cNvPr>
        <xdr:cNvPicPr>
          <a:picLocks noChangeAspect="1"/>
        </xdr:cNvPicPr>
      </xdr:nvPicPr>
      <xdr:blipFill>
        <a:blip xmlns:r="http://schemas.openxmlformats.org/officeDocument/2006/relationships" r:embed="rId9"/>
        <a:stretch>
          <a:fillRect/>
        </a:stretch>
      </xdr:blipFill>
      <xdr:spPr>
        <a:xfrm>
          <a:off x="161925" y="178386486"/>
          <a:ext cx="6515100" cy="1798204"/>
        </a:xfrm>
        <a:prstGeom prst="rect">
          <a:avLst/>
        </a:prstGeom>
      </xdr:spPr>
    </xdr:pic>
    <xdr:clientData/>
  </xdr:twoCellAnchor>
  <xdr:twoCellAnchor editAs="oneCell">
    <xdr:from>
      <xdr:col>1</xdr:col>
      <xdr:colOff>0</xdr:colOff>
      <xdr:row>276</xdr:row>
      <xdr:rowOff>0</xdr:rowOff>
    </xdr:from>
    <xdr:to>
      <xdr:col>7</xdr:col>
      <xdr:colOff>0</xdr:colOff>
      <xdr:row>281</xdr:row>
      <xdr:rowOff>190500</xdr:rowOff>
    </xdr:to>
    <xdr:pic>
      <xdr:nvPicPr>
        <xdr:cNvPr id="4" name="Imagem 3">
          <a:extLst>
            <a:ext uri="{FF2B5EF4-FFF2-40B4-BE49-F238E27FC236}">
              <a16:creationId xmlns:a16="http://schemas.microsoft.com/office/drawing/2014/main" id="{D5409EE9-6C3C-1BB8-F97C-EC7C76662378}"/>
            </a:ext>
          </a:extLst>
        </xdr:cNvPr>
        <xdr:cNvPicPr>
          <a:picLocks noChangeAspect="1"/>
        </xdr:cNvPicPr>
      </xdr:nvPicPr>
      <xdr:blipFill>
        <a:blip xmlns:r="http://schemas.openxmlformats.org/officeDocument/2006/relationships" r:embed="rId10"/>
        <a:stretch>
          <a:fillRect/>
        </a:stretch>
      </xdr:blipFill>
      <xdr:spPr>
        <a:xfrm>
          <a:off x="161925" y="85391625"/>
          <a:ext cx="6534150" cy="1200150"/>
        </a:xfrm>
        <a:prstGeom prst="rect">
          <a:avLst/>
        </a:prstGeom>
      </xdr:spPr>
    </xdr:pic>
    <xdr:clientData/>
  </xdr:twoCellAnchor>
  <xdr:twoCellAnchor editAs="oneCell">
    <xdr:from>
      <xdr:col>0</xdr:col>
      <xdr:colOff>161924</xdr:colOff>
      <xdr:row>689</xdr:row>
      <xdr:rowOff>0</xdr:rowOff>
    </xdr:from>
    <xdr:to>
      <xdr:col>7</xdr:col>
      <xdr:colOff>9524</xdr:colOff>
      <xdr:row>705</xdr:row>
      <xdr:rowOff>192569</xdr:rowOff>
    </xdr:to>
    <xdr:pic>
      <xdr:nvPicPr>
        <xdr:cNvPr id="3" name="Imagem 2">
          <a:extLst>
            <a:ext uri="{FF2B5EF4-FFF2-40B4-BE49-F238E27FC236}">
              <a16:creationId xmlns:a16="http://schemas.microsoft.com/office/drawing/2014/main" id="{8DE560CD-F215-6CA7-16C0-24FC58DA9A1D}"/>
            </a:ext>
          </a:extLst>
        </xdr:cNvPr>
        <xdr:cNvPicPr>
          <a:picLocks noChangeAspect="1"/>
        </xdr:cNvPicPr>
      </xdr:nvPicPr>
      <xdr:blipFill>
        <a:blip xmlns:r="http://schemas.openxmlformats.org/officeDocument/2006/relationships" r:embed="rId11"/>
        <a:stretch>
          <a:fillRect/>
        </a:stretch>
      </xdr:blipFill>
      <xdr:spPr>
        <a:xfrm>
          <a:off x="161924" y="193890900"/>
          <a:ext cx="6543675" cy="4307369"/>
        </a:xfrm>
        <a:prstGeom prst="rect">
          <a:avLst/>
        </a:prstGeom>
      </xdr:spPr>
    </xdr:pic>
    <xdr:clientData/>
  </xdr:twoCellAnchor>
  <xdr:twoCellAnchor editAs="oneCell">
    <xdr:from>
      <xdr:col>9</xdr:col>
      <xdr:colOff>419100</xdr:colOff>
      <xdr:row>73</xdr:row>
      <xdr:rowOff>1876425</xdr:rowOff>
    </xdr:from>
    <xdr:to>
      <xdr:col>13</xdr:col>
      <xdr:colOff>638959</xdr:colOff>
      <xdr:row>78</xdr:row>
      <xdr:rowOff>190677</xdr:rowOff>
    </xdr:to>
    <xdr:pic>
      <xdr:nvPicPr>
        <xdr:cNvPr id="13" name="Imagem 12">
          <a:extLst>
            <a:ext uri="{FF2B5EF4-FFF2-40B4-BE49-F238E27FC236}">
              <a16:creationId xmlns:a16="http://schemas.microsoft.com/office/drawing/2014/main" id="{5D206629-6A5A-2676-A9FA-4775D8061D19}"/>
            </a:ext>
          </a:extLst>
        </xdr:cNvPr>
        <xdr:cNvPicPr>
          <a:picLocks noChangeAspect="1"/>
        </xdr:cNvPicPr>
      </xdr:nvPicPr>
      <xdr:blipFill>
        <a:blip xmlns:r="http://schemas.openxmlformats.org/officeDocument/2006/relationships" r:embed="rId12"/>
        <a:stretch>
          <a:fillRect/>
        </a:stretch>
      </xdr:blipFill>
      <xdr:spPr>
        <a:xfrm>
          <a:off x="7962900" y="28517850"/>
          <a:ext cx="5620534" cy="12670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267</xdr:row>
          <xdr:rowOff>28575</xdr:rowOff>
        </xdr:from>
        <xdr:to>
          <xdr:col>7</xdr:col>
          <xdr:colOff>171450</xdr:colOff>
          <xdr:row>272</xdr:row>
          <xdr:rowOff>28575</xdr:rowOff>
        </xdr:to>
        <xdr:pic>
          <xdr:nvPicPr>
            <xdr:cNvPr id="2" name="Imagem 1">
              <a:extLst>
                <a:ext uri="{FF2B5EF4-FFF2-40B4-BE49-F238E27FC236}">
                  <a16:creationId xmlns:a16="http://schemas.microsoft.com/office/drawing/2014/main" id="{BC8CE5BF-9F59-4EC0-BDBB-C3229B6DB5A1}"/>
                </a:ext>
              </a:extLst>
            </xdr:cNvPr>
            <xdr:cNvPicPr>
              <a:picLocks noChangeAspect="1" noChangeArrowheads="1"/>
              <a:extLst>
                <a:ext uri="{84589F7E-364E-4C9E-8A38-B11213B215E9}">
                  <a14:cameraTool cellRange="$O$268:$AA$272" spid="_x0000_s700065"/>
                </a:ext>
              </a:extLst>
            </xdr:cNvPicPr>
          </xdr:nvPicPr>
          <xdr:blipFill>
            <a:blip xmlns:r="http://schemas.openxmlformats.org/officeDocument/2006/relationships" r:embed="rId1"/>
            <a:srcRect/>
            <a:stretch>
              <a:fillRect/>
            </a:stretch>
          </xdr:blipFill>
          <xdr:spPr bwMode="auto">
            <a:xfrm>
              <a:off x="0" y="79781400"/>
              <a:ext cx="7419975" cy="10001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275</xdr:row>
          <xdr:rowOff>190500</xdr:rowOff>
        </xdr:from>
        <xdr:to>
          <xdr:col>4</xdr:col>
          <xdr:colOff>304800</xdr:colOff>
          <xdr:row>282</xdr:row>
          <xdr:rowOff>190500</xdr:rowOff>
        </xdr:to>
        <xdr:pic>
          <xdr:nvPicPr>
            <xdr:cNvPr id="3" name="Imagem 2">
              <a:extLst>
                <a:ext uri="{FF2B5EF4-FFF2-40B4-BE49-F238E27FC236}">
                  <a16:creationId xmlns:a16="http://schemas.microsoft.com/office/drawing/2014/main" id="{D60F5BE5-9B61-418D-9931-8620DACF0257}"/>
                </a:ext>
              </a:extLst>
            </xdr:cNvPr>
            <xdr:cNvPicPr>
              <a:picLocks noChangeAspect="1" noChangeArrowheads="1"/>
              <a:extLst>
                <a:ext uri="{84589F7E-364E-4C9E-8A38-B11213B215E9}">
                  <a14:cameraTool cellRange="$O$277:$X$283" spid="_x0000_s700066"/>
                </a:ext>
              </a:extLst>
            </xdr:cNvPicPr>
          </xdr:nvPicPr>
          <xdr:blipFill>
            <a:blip xmlns:r="http://schemas.openxmlformats.org/officeDocument/2006/relationships" r:embed="rId2"/>
            <a:srcRect/>
            <a:stretch>
              <a:fillRect/>
            </a:stretch>
          </xdr:blipFill>
          <xdr:spPr bwMode="auto">
            <a:xfrm>
              <a:off x="0" y="82600800"/>
              <a:ext cx="5667375" cy="14001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9526</xdr:colOff>
          <xdr:row>320</xdr:row>
          <xdr:rowOff>38099</xdr:rowOff>
        </xdr:from>
        <xdr:to>
          <xdr:col>7</xdr:col>
          <xdr:colOff>504826</xdr:colOff>
          <xdr:row>327</xdr:row>
          <xdr:rowOff>38099</xdr:rowOff>
        </xdr:to>
        <xdr:pic>
          <xdr:nvPicPr>
            <xdr:cNvPr id="4" name="Imagem 3">
              <a:extLst>
                <a:ext uri="{FF2B5EF4-FFF2-40B4-BE49-F238E27FC236}">
                  <a16:creationId xmlns:a16="http://schemas.microsoft.com/office/drawing/2014/main" id="{1A6C6A52-3401-4B8B-AF38-BC336730C099}"/>
                </a:ext>
              </a:extLst>
            </xdr:cNvPr>
            <xdr:cNvPicPr>
              <a:picLocks noChangeAspect="1" noChangeArrowheads="1"/>
              <a:extLst>
                <a:ext uri="{84589F7E-364E-4C9E-8A38-B11213B215E9}">
                  <a14:cameraTool cellRange="$AK$321:$AU$327" spid="_x0000_s700067"/>
                </a:ext>
              </a:extLst>
            </xdr:cNvPicPr>
          </xdr:nvPicPr>
          <xdr:blipFill>
            <a:blip xmlns:r="http://schemas.openxmlformats.org/officeDocument/2006/relationships" r:embed="rId3"/>
            <a:srcRect/>
            <a:stretch>
              <a:fillRect/>
            </a:stretch>
          </xdr:blipFill>
          <xdr:spPr bwMode="auto">
            <a:xfrm>
              <a:off x="9526" y="93611699"/>
              <a:ext cx="7743825" cy="1600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469</xdr:row>
          <xdr:rowOff>190500</xdr:rowOff>
        </xdr:from>
        <xdr:to>
          <xdr:col>4</xdr:col>
          <xdr:colOff>247650</xdr:colOff>
          <xdr:row>476</xdr:row>
          <xdr:rowOff>190500</xdr:rowOff>
        </xdr:to>
        <xdr:pic>
          <xdr:nvPicPr>
            <xdr:cNvPr id="5" name="Imagem 4">
              <a:extLst>
                <a:ext uri="{FF2B5EF4-FFF2-40B4-BE49-F238E27FC236}">
                  <a16:creationId xmlns:a16="http://schemas.microsoft.com/office/drawing/2014/main" id="{47719746-EB81-4E91-BB53-30CA8B9987CA}"/>
                </a:ext>
              </a:extLst>
            </xdr:cNvPr>
            <xdr:cNvPicPr>
              <a:picLocks noChangeAspect="1" noChangeArrowheads="1"/>
              <a:extLst>
                <a:ext uri="{84589F7E-364E-4C9E-8A38-B11213B215E9}">
                  <a14:cameraTool cellRange="$O$471:$W$477" spid="_x0000_s700068"/>
                </a:ext>
              </a:extLst>
            </xdr:cNvPicPr>
          </xdr:nvPicPr>
          <xdr:blipFill>
            <a:blip xmlns:r="http://schemas.openxmlformats.org/officeDocument/2006/relationships" r:embed="rId4"/>
            <a:srcRect/>
            <a:stretch>
              <a:fillRect/>
            </a:stretch>
          </xdr:blipFill>
          <xdr:spPr bwMode="auto">
            <a:xfrm>
              <a:off x="0" y="139484100"/>
              <a:ext cx="5610225" cy="14001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0</xdr:col>
      <xdr:colOff>0</xdr:colOff>
      <xdr:row>581</xdr:row>
      <xdr:rowOff>180975</xdr:rowOff>
    </xdr:from>
    <xdr:to>
      <xdr:col>0</xdr:col>
      <xdr:colOff>2200276</xdr:colOff>
      <xdr:row>586</xdr:row>
      <xdr:rowOff>47625</xdr:rowOff>
    </xdr:to>
    <xdr:sp macro="" textlink="">
      <xdr:nvSpPr>
        <xdr:cNvPr id="6" name="Text Box 17">
          <a:extLst>
            <a:ext uri="{FF2B5EF4-FFF2-40B4-BE49-F238E27FC236}">
              <a16:creationId xmlns:a16="http://schemas.microsoft.com/office/drawing/2014/main" id="{3A4897D9-3B01-4716-B6E4-D28E57D959C0}"/>
            </a:ext>
          </a:extLst>
        </xdr:cNvPr>
        <xdr:cNvSpPr/>
      </xdr:nvSpPr>
      <xdr:spPr>
        <a:xfrm>
          <a:off x="0" y="175993425"/>
          <a:ext cx="2200276" cy="86677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ct val="100000"/>
            </a:lnSpc>
            <a:tabLst>
              <a:tab pos="0" algn="l"/>
            </a:tabLst>
          </a:pPr>
          <a:r>
            <a:rPr lang="pt-BR" sz="1000" b="0" strike="noStrike" spc="-1">
              <a:latin typeface="Calibri"/>
            </a:rPr>
            <a:t>______________________________</a:t>
          </a:r>
          <a:endParaRPr lang="pt-BR" sz="1000" b="0" strike="noStrike" spc="-1">
            <a:latin typeface="Times New Roman"/>
          </a:endParaRPr>
        </a:p>
        <a:p>
          <a:pPr algn="ctr">
            <a:lnSpc>
              <a:spcPct val="100000"/>
            </a:lnSpc>
            <a:tabLst>
              <a:tab pos="0" algn="l"/>
            </a:tabLst>
          </a:pPr>
          <a:r>
            <a:rPr lang="pt-BR" sz="900" b="1" strike="noStrike" spc="-1">
              <a:latin typeface="Calibri"/>
            </a:rPr>
            <a:t>MARCELO ANDREETTO PERILLO</a:t>
          </a:r>
          <a:endParaRPr lang="pt-BR" sz="900" b="0" strike="noStrike" spc="-1">
            <a:latin typeface="Times New Roman"/>
          </a:endParaRPr>
        </a:p>
        <a:p>
          <a:pPr algn="ctr">
            <a:lnSpc>
              <a:spcPct val="100000"/>
            </a:lnSpc>
            <a:tabLst>
              <a:tab pos="0" algn="l"/>
            </a:tabLst>
          </a:pPr>
          <a:r>
            <a:rPr lang="pt-BR" sz="900" b="1" strike="noStrike" spc="-1">
              <a:latin typeface="Calibri"/>
            </a:rPr>
            <a:t>Diretor Administrativo</a:t>
          </a:r>
          <a:endParaRPr lang="pt-BR" sz="900" b="0" strike="noStrike" spc="-1">
            <a:latin typeface="Times New Roman"/>
          </a:endParaRPr>
        </a:p>
        <a:p>
          <a:pPr algn="ctr">
            <a:lnSpc>
              <a:spcPct val="100000"/>
            </a:lnSpc>
            <a:tabLst>
              <a:tab pos="0" algn="l"/>
            </a:tabLst>
          </a:pPr>
          <a:r>
            <a:rPr lang="pt-BR" sz="900" b="0" strike="noStrike" spc="-1">
              <a:latin typeface="Calibri"/>
            </a:rPr>
            <a:t>CPF 024.930.787-13</a:t>
          </a:r>
          <a:endParaRPr lang="pt-BR" sz="900" b="0" strike="noStrike" spc="-1">
            <a:latin typeface="Times New Roman"/>
          </a:endParaRPr>
        </a:p>
      </xdr:txBody>
    </xdr:sp>
    <xdr:clientData/>
  </xdr:twoCellAnchor>
  <xdr:twoCellAnchor>
    <xdr:from>
      <xdr:col>2</xdr:col>
      <xdr:colOff>18121</xdr:colOff>
      <xdr:row>582</xdr:row>
      <xdr:rowOff>0</xdr:rowOff>
    </xdr:from>
    <xdr:to>
      <xdr:col>6</xdr:col>
      <xdr:colOff>0</xdr:colOff>
      <xdr:row>587</xdr:row>
      <xdr:rowOff>48676</xdr:rowOff>
    </xdr:to>
    <xdr:sp macro="" textlink="">
      <xdr:nvSpPr>
        <xdr:cNvPr id="7" name="Text Box 19">
          <a:extLst>
            <a:ext uri="{FF2B5EF4-FFF2-40B4-BE49-F238E27FC236}">
              <a16:creationId xmlns:a16="http://schemas.microsoft.com/office/drawing/2014/main" id="{77A58FA7-3491-4A68-A1B9-84F7F18C083F}"/>
            </a:ext>
          </a:extLst>
        </xdr:cNvPr>
        <xdr:cNvSpPr/>
      </xdr:nvSpPr>
      <xdr:spPr>
        <a:xfrm>
          <a:off x="4209121" y="176012475"/>
          <a:ext cx="2325029" cy="1048801"/>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ts val="1100"/>
            </a:lnSpc>
            <a:tabLst>
              <a:tab pos="0" algn="l"/>
            </a:tabLst>
          </a:pPr>
          <a:r>
            <a:rPr lang="pt-BR" sz="1000" b="0" strike="noStrike" spc="-1">
              <a:latin typeface="Calibri"/>
            </a:rPr>
            <a:t>___________________________________</a:t>
          </a:r>
          <a:endParaRPr lang="pt-BR" sz="1000" b="0" strike="noStrike" spc="-1">
            <a:latin typeface="Times New Roman"/>
          </a:endParaRPr>
        </a:p>
        <a:p>
          <a:pPr algn="ctr" eaLnBrk="1" fontAlgn="auto" latinLnBrk="0" hangingPunct="1"/>
          <a:r>
            <a:rPr lang="pt-BR" sz="900" b="1">
              <a:effectLst/>
              <a:latin typeface="+mn-lt"/>
              <a:ea typeface="+mn-ea"/>
              <a:cs typeface="+mn-cs"/>
            </a:rPr>
            <a:t>ROSÂNGELA</a:t>
          </a:r>
          <a:r>
            <a:rPr lang="pt-BR" sz="900" b="1" baseline="0">
              <a:effectLst/>
              <a:latin typeface="+mn-lt"/>
              <a:ea typeface="+mn-ea"/>
              <a:cs typeface="+mn-cs"/>
            </a:rPr>
            <a:t> VIEIRA PAES DA SILVA</a:t>
          </a:r>
          <a:endParaRPr lang="pt-BR" sz="900">
            <a:effectLst/>
          </a:endParaRPr>
        </a:p>
        <a:p>
          <a:pPr algn="ctr"/>
          <a:r>
            <a:rPr lang="pt-BR" sz="900" b="1">
              <a:effectLst/>
              <a:latin typeface="+mn-lt"/>
              <a:ea typeface="+mn-ea"/>
              <a:cs typeface="+mn-cs"/>
            </a:rPr>
            <a:t>Gerente de Contabilidade - CRC-RJ 084.188/O-4</a:t>
          </a:r>
          <a:endParaRPr lang="pt-BR" sz="900">
            <a:effectLst/>
          </a:endParaRPr>
        </a:p>
        <a:p>
          <a:pPr algn="ctr"/>
          <a:r>
            <a:rPr lang="pt-BR" sz="900" b="0">
              <a:effectLst/>
              <a:latin typeface="+mn-lt"/>
              <a:ea typeface="+mn-ea"/>
              <a:cs typeface="+mn-cs"/>
            </a:rPr>
            <a:t>CPF 038.333.037-86</a:t>
          </a:r>
          <a:endParaRPr lang="pt-BR" sz="900">
            <a:effectLst/>
          </a:endParaRPr>
        </a:p>
        <a:p>
          <a:pPr algn="ctr">
            <a:lnSpc>
              <a:spcPts val="1199"/>
            </a:lnSpc>
            <a:tabLst>
              <a:tab pos="0" algn="l"/>
            </a:tabLst>
          </a:pPr>
          <a:endParaRPr lang="pt-BR" sz="1000" b="0" strike="noStrike" spc="-1">
            <a:latin typeface="Times New Roman"/>
          </a:endParaRPr>
        </a:p>
      </xdr:txBody>
    </xdr:sp>
    <xdr:clientData/>
  </xdr:twoCellAnchor>
  <xdr:twoCellAnchor>
    <xdr:from>
      <xdr:col>0</xdr:col>
      <xdr:colOff>2053037</xdr:colOff>
      <xdr:row>582</xdr:row>
      <xdr:rowOff>0</xdr:rowOff>
    </xdr:from>
    <xdr:to>
      <xdr:col>2</xdr:col>
      <xdr:colOff>38100</xdr:colOff>
      <xdr:row>585</xdr:row>
      <xdr:rowOff>76200</xdr:rowOff>
    </xdr:to>
    <xdr:sp macro="" textlink="">
      <xdr:nvSpPr>
        <xdr:cNvPr id="8" name="Text Box 19">
          <a:extLst>
            <a:ext uri="{FF2B5EF4-FFF2-40B4-BE49-F238E27FC236}">
              <a16:creationId xmlns:a16="http://schemas.microsoft.com/office/drawing/2014/main" id="{5FCBCAEE-7A74-4715-A00F-229F4A9D7C2C}"/>
            </a:ext>
          </a:extLst>
        </xdr:cNvPr>
        <xdr:cNvSpPr/>
      </xdr:nvSpPr>
      <xdr:spPr>
        <a:xfrm>
          <a:off x="2053037" y="176012475"/>
          <a:ext cx="2176063" cy="676275"/>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36720" bIns="0" anchor="t" upright="1">
          <a:noAutofit/>
        </a:bodyPr>
        <a:lstStyle/>
        <a:p>
          <a:pPr algn="ctr">
            <a:lnSpc>
              <a:spcPts val="1100"/>
            </a:lnSpc>
            <a:tabLst>
              <a:tab pos="0" algn="l"/>
            </a:tabLst>
          </a:pPr>
          <a:r>
            <a:rPr lang="pt-BR" sz="1000" b="0" strike="noStrike" spc="-1">
              <a:latin typeface="Calibri"/>
            </a:rPr>
            <a:t>_________________________________</a:t>
          </a:r>
          <a:endParaRPr lang="pt-BR" sz="1000" b="0" strike="noStrike" spc="-1">
            <a:latin typeface="Times New Roman"/>
          </a:endParaRPr>
        </a:p>
        <a:p>
          <a:pPr algn="ctr">
            <a:lnSpc>
              <a:spcPts val="1100"/>
            </a:lnSpc>
            <a:tabLst>
              <a:tab pos="0" algn="l"/>
            </a:tabLst>
          </a:pPr>
          <a:r>
            <a:rPr lang="pt-BR" sz="900" b="1" strike="noStrike" spc="-1">
              <a:solidFill>
                <a:srgbClr val="000000"/>
              </a:solidFill>
              <a:latin typeface="Calibri"/>
            </a:rPr>
            <a:t>GENILDO RODRIGUES DE ARAÚJO</a:t>
          </a:r>
          <a:endParaRPr lang="pt-BR" sz="900" b="0" strike="noStrike" spc="-1">
            <a:latin typeface="Times New Roman"/>
          </a:endParaRPr>
        </a:p>
        <a:p>
          <a:pPr algn="ctr">
            <a:lnSpc>
              <a:spcPts val="1100"/>
            </a:lnSpc>
            <a:tabLst>
              <a:tab pos="0" algn="l"/>
            </a:tabLst>
          </a:pPr>
          <a:r>
            <a:rPr lang="pt-BR" sz="900" b="1" strike="noStrike" spc="-1">
              <a:latin typeface="Calibri"/>
            </a:rPr>
            <a:t>Gerente Geral</a:t>
          </a:r>
          <a:r>
            <a:rPr lang="pt-BR" sz="900" b="1" strike="noStrike" spc="-1">
              <a:solidFill>
                <a:srgbClr val="000000"/>
              </a:solidFill>
              <a:latin typeface="Calibri"/>
            </a:rPr>
            <a:t> de Planejamento e Finanças</a:t>
          </a:r>
          <a:endParaRPr lang="pt-BR" sz="900" b="0" strike="noStrike" spc="-1">
            <a:latin typeface="Times New Roman"/>
          </a:endParaRPr>
        </a:p>
        <a:p>
          <a:pPr algn="ctr">
            <a:lnSpc>
              <a:spcPts val="1001"/>
            </a:lnSpc>
            <a:tabLst>
              <a:tab pos="0" algn="l"/>
            </a:tabLst>
          </a:pPr>
          <a:r>
            <a:rPr lang="pt-BR" sz="900" b="0" strike="noStrike" spc="-1">
              <a:solidFill>
                <a:srgbClr val="000000"/>
              </a:solidFill>
              <a:latin typeface="Calibri"/>
            </a:rPr>
            <a:t>CPF 491.885.187-87</a:t>
          </a:r>
          <a:endParaRPr lang="pt-BR" sz="900" b="0" strike="noStrike" spc="-1">
            <a:latin typeface="Times New Roman"/>
          </a:endParaRPr>
        </a:p>
        <a:p>
          <a:pPr algn="ctr">
            <a:lnSpc>
              <a:spcPts val="1199"/>
            </a:lnSpc>
            <a:tabLst>
              <a:tab pos="0" algn="l"/>
            </a:tabLst>
          </a:pPr>
          <a:endParaRPr lang="pt-BR" sz="1000" b="0" strike="noStrike" spc="-1">
            <a:latin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535</xdr:row>
          <xdr:rowOff>85725</xdr:rowOff>
        </xdr:from>
        <xdr:to>
          <xdr:col>7</xdr:col>
          <xdr:colOff>47625</xdr:colOff>
          <xdr:row>541</xdr:row>
          <xdr:rowOff>85725</xdr:rowOff>
        </xdr:to>
        <xdr:pic>
          <xdr:nvPicPr>
            <xdr:cNvPr id="9" name="Imagem 8">
              <a:extLst>
                <a:ext uri="{FF2B5EF4-FFF2-40B4-BE49-F238E27FC236}">
                  <a16:creationId xmlns:a16="http://schemas.microsoft.com/office/drawing/2014/main" id="{ACA60A9F-CC59-4D16-9DF6-E933E8AE85C4}"/>
                </a:ext>
              </a:extLst>
            </xdr:cNvPr>
            <xdr:cNvPicPr>
              <a:picLocks noChangeAspect="1" noChangeArrowheads="1"/>
              <a:extLst>
                <a:ext uri="{84589F7E-364E-4C9E-8A38-B11213B215E9}">
                  <a14:cameraTool cellRange="$AV$536:$BL$541" spid="_x0000_s700069"/>
                </a:ext>
              </a:extLst>
            </xdr:cNvPicPr>
          </xdr:nvPicPr>
          <xdr:blipFill>
            <a:blip xmlns:r="http://schemas.openxmlformats.org/officeDocument/2006/relationships" r:embed="rId5"/>
            <a:srcRect/>
            <a:stretch>
              <a:fillRect/>
            </a:stretch>
          </xdr:blipFill>
          <xdr:spPr bwMode="auto">
            <a:xfrm>
              <a:off x="47625" y="163953825"/>
              <a:ext cx="7248525" cy="14097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19049</xdr:colOff>
          <xdr:row>546</xdr:row>
          <xdr:rowOff>57150</xdr:rowOff>
        </xdr:from>
        <xdr:to>
          <xdr:col>4</xdr:col>
          <xdr:colOff>114299</xdr:colOff>
          <xdr:row>563</xdr:row>
          <xdr:rowOff>57150</xdr:rowOff>
        </xdr:to>
        <xdr:pic>
          <xdr:nvPicPr>
            <xdr:cNvPr id="10" name="Imagem 9">
              <a:extLst>
                <a:ext uri="{FF2B5EF4-FFF2-40B4-BE49-F238E27FC236}">
                  <a16:creationId xmlns:a16="http://schemas.microsoft.com/office/drawing/2014/main" id="{CBCAEA17-B497-4A7D-B5A5-3953DFB9C945}"/>
                </a:ext>
              </a:extLst>
            </xdr:cNvPr>
            <xdr:cNvPicPr>
              <a:picLocks noChangeAspect="1" noChangeArrowheads="1"/>
              <a:extLst>
                <a:ext uri="{84589F7E-364E-4C9E-8A38-B11213B215E9}">
                  <a14:cameraTool cellRange="$BN$547:$BT$563" spid="_x0000_s700070"/>
                </a:ext>
              </a:extLst>
            </xdr:cNvPicPr>
          </xdr:nvPicPr>
          <xdr:blipFill>
            <a:blip xmlns:r="http://schemas.openxmlformats.org/officeDocument/2006/relationships" r:embed="rId6"/>
            <a:srcRect/>
            <a:stretch>
              <a:fillRect/>
            </a:stretch>
          </xdr:blipFill>
          <xdr:spPr bwMode="auto">
            <a:xfrm>
              <a:off x="19049" y="167125650"/>
              <a:ext cx="5457825" cy="36195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153</xdr:row>
          <xdr:rowOff>0</xdr:rowOff>
        </xdr:from>
        <xdr:to>
          <xdr:col>8</xdr:col>
          <xdr:colOff>828675</xdr:colOff>
          <xdr:row>164</xdr:row>
          <xdr:rowOff>0</xdr:rowOff>
        </xdr:to>
        <xdr:pic>
          <xdr:nvPicPr>
            <xdr:cNvPr id="11" name="Imagem 10">
              <a:extLst>
                <a:ext uri="{FF2B5EF4-FFF2-40B4-BE49-F238E27FC236}">
                  <a16:creationId xmlns:a16="http://schemas.microsoft.com/office/drawing/2014/main" id="{AB96F158-29EB-44A2-8212-AC17012D4E0E}"/>
                </a:ext>
              </a:extLst>
            </xdr:cNvPr>
            <xdr:cNvPicPr>
              <a:picLocks noChangeAspect="1" noChangeArrowheads="1"/>
              <a:extLst>
                <a:ext uri="{84589F7E-364E-4C9E-8A38-B11213B215E9}">
                  <a14:cameraTool cellRange="$BV$154:$CJ$164" spid="_x0000_s700071"/>
                </a:ext>
              </a:extLst>
            </xdr:cNvPicPr>
          </xdr:nvPicPr>
          <xdr:blipFill>
            <a:blip xmlns:r="http://schemas.openxmlformats.org/officeDocument/2006/relationships" r:embed="rId7"/>
            <a:srcRect/>
            <a:stretch>
              <a:fillRect/>
            </a:stretch>
          </xdr:blipFill>
          <xdr:spPr bwMode="auto">
            <a:xfrm>
              <a:off x="28575" y="44196000"/>
              <a:ext cx="8763000" cy="25050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490</xdr:row>
          <xdr:rowOff>0</xdr:rowOff>
        </xdr:from>
        <xdr:to>
          <xdr:col>6</xdr:col>
          <xdr:colOff>238125</xdr:colOff>
          <xdr:row>499</xdr:row>
          <xdr:rowOff>0</xdr:rowOff>
        </xdr:to>
        <xdr:pic>
          <xdr:nvPicPr>
            <xdr:cNvPr id="12" name="Imagem 11">
              <a:extLst>
                <a:ext uri="{FF2B5EF4-FFF2-40B4-BE49-F238E27FC236}">
                  <a16:creationId xmlns:a16="http://schemas.microsoft.com/office/drawing/2014/main" id="{01E43305-A8C7-45F9-A05F-FCF28D91C6E7}"/>
                </a:ext>
              </a:extLst>
            </xdr:cNvPr>
            <xdr:cNvPicPr>
              <a:picLocks noChangeAspect="1" noChangeArrowheads="1"/>
              <a:extLst>
                <a:ext uri="{84589F7E-364E-4C9E-8A38-B11213B215E9}">
                  <a14:cameraTool cellRange="$AK$491:$AS$499" spid="_x0000_s700072"/>
                </a:ext>
              </a:extLst>
            </xdr:cNvPicPr>
          </xdr:nvPicPr>
          <xdr:blipFill>
            <a:blip xmlns:r="http://schemas.openxmlformats.org/officeDocument/2006/relationships" r:embed="rId8"/>
            <a:srcRect/>
            <a:stretch>
              <a:fillRect/>
            </a:stretch>
          </xdr:blipFill>
          <xdr:spPr bwMode="auto">
            <a:xfrm>
              <a:off x="47625" y="145170525"/>
              <a:ext cx="6724650" cy="18002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4:I1660" totalsRowCount="1" headerRowDxfId="10">
  <autoFilter ref="A4:I1659" xr:uid="{00000000-0009-0000-0100-000001000000}"/>
  <tableColumns count="9">
    <tableColumn id="1" xr3:uid="{00000000-0010-0000-0000-000001000000}" name=" " dataDxfId="9" totalsRowDxfId="8"/>
    <tableColumn id="2" xr3:uid="{00000000-0010-0000-0000-000002000000}" name="Descrição da Conta"/>
    <tableColumn id="3" xr3:uid="{00000000-0010-0000-0000-000003000000}" name="Conta Corrente"/>
    <tableColumn id="4" xr3:uid="{00000000-0010-0000-0000-000004000000}" name="mar/25" totalsRowFunction="custom" dataDxfId="7" totalsRowDxfId="6">
      <totalsRowFormula>SUBTOTAL(109,D5:D1659)</totalsRowFormula>
    </tableColumn>
    <tableColumn id="5" xr3:uid="{00000000-0010-0000-0000-000005000000}" name="mar/24" totalsRowFunction="custom" dataDxfId="5" totalsRowDxfId="4">
      <totalsRowFormula>SUBTOTAL(109,E5:E1659)</totalsRowFormula>
    </tableColumn>
    <tableColumn id="6" xr3:uid="{00000000-0010-0000-0000-000006000000}" name="dez/24" totalsRowFunction="sum" dataDxfId="3" totalsRowDxfId="2"/>
    <tableColumn id="7" xr3:uid="{00000000-0010-0000-0000-000007000000}" name="CONCATENAR">
      <calculatedColumnFormula>CONCATENATE(A5,B5,C5)</calculatedColumnFormula>
    </tableColumn>
    <tableColumn id="8" xr3:uid="{00000000-0010-0000-0000-000008000000}" name="Demonstrações - sintética" dataDxfId="1">
      <calculatedColumnFormula>VLOOKUP(Tabela1[[#This Row],[CONCATENAR]],'Classificações - Demonstrações'!$A$5:$C$46003,2,)</calculatedColumnFormula>
    </tableColumn>
    <tableColumn id="9" xr3:uid="{00000000-0010-0000-0000-000009000000}" name="Demonstrações - analítica" dataDxfId="0"/>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externalLinkPath" Target="/AFC-Ger&#234;nciaContabil/002%20Demonstra&#231;&#245;es%20Cont&#225;beis/2025/12.%20DEZEMBRO%202025/01.%20Demonstra&#231;&#245;es%20Financeiras/02.%20Demonstra&#231;&#227;o%20Final/DF_%204&#186;%20Trim_25%20-%20Definitiva%20-%20Em%20milhares.xlsx"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G4675"/>
  <sheetViews>
    <sheetView showGridLines="0" workbookViewId="0">
      <selection activeCell="A21" sqref="A21"/>
    </sheetView>
  </sheetViews>
  <sheetFormatPr defaultRowHeight="12.75" x14ac:dyDescent="0.2"/>
  <cols>
    <col min="1" max="1" width="92.140625" customWidth="1"/>
    <col min="2" max="2" width="46.28515625" bestFit="1" customWidth="1"/>
    <col min="3" max="3" width="91.140625" bestFit="1" customWidth="1"/>
  </cols>
  <sheetData>
    <row r="1" spans="1:7" x14ac:dyDescent="0.2">
      <c r="E1" t="s">
        <v>2952</v>
      </c>
      <c r="F1" t="s">
        <v>4516</v>
      </c>
      <c r="G1" t="s">
        <v>2953</v>
      </c>
    </row>
    <row r="5" spans="1:7" x14ac:dyDescent="0.2">
      <c r="A5" s="2" t="s">
        <v>738</v>
      </c>
      <c r="B5" s="2" t="s">
        <v>739</v>
      </c>
      <c r="C5" s="2" t="s">
        <v>740</v>
      </c>
    </row>
    <row r="6" spans="1:7" x14ac:dyDescent="0.2">
      <c r="A6" t="s">
        <v>2960</v>
      </c>
      <c r="B6" t="s">
        <v>742</v>
      </c>
      <c r="C6" t="s">
        <v>743</v>
      </c>
    </row>
    <row r="7" spans="1:7" x14ac:dyDescent="0.2">
      <c r="A7" t="s">
        <v>741</v>
      </c>
      <c r="B7" t="s">
        <v>742</v>
      </c>
      <c r="C7" t="s">
        <v>743</v>
      </c>
    </row>
    <row r="8" spans="1:7" x14ac:dyDescent="0.2">
      <c r="A8" t="s">
        <v>2961</v>
      </c>
      <c r="B8" t="s">
        <v>742</v>
      </c>
      <c r="C8" t="s">
        <v>745</v>
      </c>
    </row>
    <row r="9" spans="1:7" x14ac:dyDescent="0.2">
      <c r="A9" t="s">
        <v>2962</v>
      </c>
      <c r="B9" t="s">
        <v>742</v>
      </c>
      <c r="C9" t="s">
        <v>745</v>
      </c>
    </row>
    <row r="10" spans="1:7" x14ac:dyDescent="0.2">
      <c r="A10" t="s">
        <v>2963</v>
      </c>
      <c r="B10" t="s">
        <v>742</v>
      </c>
      <c r="C10" t="s">
        <v>745</v>
      </c>
    </row>
    <row r="11" spans="1:7" x14ac:dyDescent="0.2">
      <c r="A11" t="s">
        <v>2964</v>
      </c>
      <c r="B11" t="s">
        <v>742</v>
      </c>
      <c r="C11" t="s">
        <v>745</v>
      </c>
    </row>
    <row r="12" spans="1:7" x14ac:dyDescent="0.2">
      <c r="A12" t="s">
        <v>2965</v>
      </c>
      <c r="B12" t="s">
        <v>742</v>
      </c>
      <c r="C12" t="s">
        <v>745</v>
      </c>
    </row>
    <row r="13" spans="1:7" x14ac:dyDescent="0.2">
      <c r="A13" t="s">
        <v>2966</v>
      </c>
      <c r="B13" t="s">
        <v>742</v>
      </c>
      <c r="C13" t="s">
        <v>745</v>
      </c>
    </row>
    <row r="14" spans="1:7" x14ac:dyDescent="0.2">
      <c r="A14" t="s">
        <v>2967</v>
      </c>
      <c r="B14" t="s">
        <v>742</v>
      </c>
      <c r="C14" t="s">
        <v>745</v>
      </c>
    </row>
    <row r="15" spans="1:7" x14ac:dyDescent="0.2">
      <c r="A15" t="s">
        <v>2968</v>
      </c>
      <c r="B15" t="s">
        <v>742</v>
      </c>
      <c r="C15" t="s">
        <v>745</v>
      </c>
    </row>
    <row r="16" spans="1:7" x14ac:dyDescent="0.2">
      <c r="A16" t="s">
        <v>2969</v>
      </c>
      <c r="B16" t="s">
        <v>742</v>
      </c>
      <c r="C16" t="s">
        <v>745</v>
      </c>
    </row>
    <row r="17" spans="1:3" x14ac:dyDescent="0.2">
      <c r="A17" t="s">
        <v>2970</v>
      </c>
      <c r="B17" t="s">
        <v>742</v>
      </c>
      <c r="C17" t="s">
        <v>745</v>
      </c>
    </row>
    <row r="18" spans="1:3" x14ac:dyDescent="0.2">
      <c r="A18" t="s">
        <v>2971</v>
      </c>
      <c r="B18" t="s">
        <v>742</v>
      </c>
      <c r="C18" t="s">
        <v>745</v>
      </c>
    </row>
    <row r="19" spans="1:3" x14ac:dyDescent="0.2">
      <c r="A19" t="s">
        <v>2972</v>
      </c>
      <c r="B19" t="s">
        <v>742</v>
      </c>
      <c r="C19" t="s">
        <v>745</v>
      </c>
    </row>
    <row r="20" spans="1:3" x14ac:dyDescent="0.2">
      <c r="A20" t="s">
        <v>2973</v>
      </c>
      <c r="B20" t="s">
        <v>742</v>
      </c>
      <c r="C20" t="s">
        <v>745</v>
      </c>
    </row>
    <row r="21" spans="1:3" x14ac:dyDescent="0.2">
      <c r="A21" t="s">
        <v>2974</v>
      </c>
      <c r="B21" t="s">
        <v>742</v>
      </c>
      <c r="C21" t="s">
        <v>745</v>
      </c>
    </row>
    <row r="22" spans="1:3" x14ac:dyDescent="0.2">
      <c r="A22" t="s">
        <v>2975</v>
      </c>
      <c r="B22" t="s">
        <v>742</v>
      </c>
      <c r="C22" t="s">
        <v>745</v>
      </c>
    </row>
    <row r="23" spans="1:3" x14ac:dyDescent="0.2">
      <c r="A23" t="s">
        <v>2976</v>
      </c>
      <c r="B23" t="s">
        <v>742</v>
      </c>
      <c r="C23" t="s">
        <v>745</v>
      </c>
    </row>
    <row r="24" spans="1:3" x14ac:dyDescent="0.2">
      <c r="A24" t="s">
        <v>2977</v>
      </c>
      <c r="B24" t="s">
        <v>742</v>
      </c>
      <c r="C24" t="s">
        <v>745</v>
      </c>
    </row>
    <row r="25" spans="1:3" x14ac:dyDescent="0.2">
      <c r="A25" t="s">
        <v>2978</v>
      </c>
      <c r="B25" t="s">
        <v>742</v>
      </c>
      <c r="C25" t="s">
        <v>745</v>
      </c>
    </row>
    <row r="26" spans="1:3" x14ac:dyDescent="0.2">
      <c r="A26" t="s">
        <v>2979</v>
      </c>
      <c r="B26" t="s">
        <v>742</v>
      </c>
      <c r="C26" t="s">
        <v>745</v>
      </c>
    </row>
    <row r="27" spans="1:3" x14ac:dyDescent="0.2">
      <c r="A27" t="s">
        <v>744</v>
      </c>
      <c r="B27" t="s">
        <v>742</v>
      </c>
      <c r="C27" t="s">
        <v>745</v>
      </c>
    </row>
    <row r="28" spans="1:3" x14ac:dyDescent="0.2">
      <c r="A28" t="s">
        <v>746</v>
      </c>
      <c r="B28" t="s">
        <v>742</v>
      </c>
      <c r="C28" t="s">
        <v>745</v>
      </c>
    </row>
    <row r="29" spans="1:3" x14ac:dyDescent="0.2">
      <c r="A29" t="s">
        <v>747</v>
      </c>
      <c r="B29" t="s">
        <v>742</v>
      </c>
      <c r="C29" t="s">
        <v>745</v>
      </c>
    </row>
    <row r="30" spans="1:3" x14ac:dyDescent="0.2">
      <c r="A30" t="s">
        <v>748</v>
      </c>
      <c r="B30" t="s">
        <v>742</v>
      </c>
      <c r="C30" t="s">
        <v>745</v>
      </c>
    </row>
    <row r="31" spans="1:3" x14ac:dyDescent="0.2">
      <c r="A31" t="s">
        <v>749</v>
      </c>
      <c r="B31" t="s">
        <v>742</v>
      </c>
      <c r="C31" t="s">
        <v>745</v>
      </c>
    </row>
    <row r="32" spans="1:3" x14ac:dyDescent="0.2">
      <c r="A32" t="s">
        <v>750</v>
      </c>
      <c r="B32" t="s">
        <v>742</v>
      </c>
      <c r="C32" t="s">
        <v>745</v>
      </c>
    </row>
    <row r="33" spans="1:3" x14ac:dyDescent="0.2">
      <c r="A33" t="s">
        <v>751</v>
      </c>
      <c r="B33" t="s">
        <v>742</v>
      </c>
      <c r="C33" t="s">
        <v>745</v>
      </c>
    </row>
    <row r="34" spans="1:3" x14ac:dyDescent="0.2">
      <c r="A34" t="s">
        <v>752</v>
      </c>
      <c r="B34" t="s">
        <v>742</v>
      </c>
      <c r="C34" t="s">
        <v>745</v>
      </c>
    </row>
    <row r="35" spans="1:3" x14ac:dyDescent="0.2">
      <c r="A35" t="s">
        <v>753</v>
      </c>
      <c r="B35" t="s">
        <v>742</v>
      </c>
      <c r="C35" t="s">
        <v>745</v>
      </c>
    </row>
    <row r="36" spans="1:3" x14ac:dyDescent="0.2">
      <c r="A36" t="s">
        <v>754</v>
      </c>
      <c r="B36" t="s">
        <v>742</v>
      </c>
      <c r="C36" t="s">
        <v>745</v>
      </c>
    </row>
    <row r="37" spans="1:3" x14ac:dyDescent="0.2">
      <c r="A37" t="s">
        <v>755</v>
      </c>
      <c r="B37" t="s">
        <v>742</v>
      </c>
      <c r="C37" t="s">
        <v>745</v>
      </c>
    </row>
    <row r="38" spans="1:3" x14ac:dyDescent="0.2">
      <c r="A38" t="s">
        <v>756</v>
      </c>
      <c r="B38" t="s">
        <v>742</v>
      </c>
      <c r="C38" t="s">
        <v>745</v>
      </c>
    </row>
    <row r="39" spans="1:3" x14ac:dyDescent="0.2">
      <c r="A39" t="s">
        <v>757</v>
      </c>
      <c r="B39" t="s">
        <v>742</v>
      </c>
      <c r="C39" t="s">
        <v>745</v>
      </c>
    </row>
    <row r="40" spans="1:3" x14ac:dyDescent="0.2">
      <c r="A40" t="s">
        <v>758</v>
      </c>
      <c r="B40" t="s">
        <v>742</v>
      </c>
      <c r="C40" t="s">
        <v>745</v>
      </c>
    </row>
    <row r="41" spans="1:3" x14ac:dyDescent="0.2">
      <c r="A41" t="s">
        <v>759</v>
      </c>
      <c r="B41" t="s">
        <v>742</v>
      </c>
      <c r="C41" t="s">
        <v>745</v>
      </c>
    </row>
    <row r="42" spans="1:3" x14ac:dyDescent="0.2">
      <c r="A42" t="s">
        <v>6726</v>
      </c>
      <c r="B42" t="s">
        <v>742</v>
      </c>
      <c r="C42" t="s">
        <v>745</v>
      </c>
    </row>
    <row r="43" spans="1:3" x14ac:dyDescent="0.2">
      <c r="A43" t="s">
        <v>760</v>
      </c>
      <c r="B43" t="s">
        <v>742</v>
      </c>
      <c r="C43" t="s">
        <v>745</v>
      </c>
    </row>
    <row r="44" spans="1:3" x14ac:dyDescent="0.2">
      <c r="A44" t="s">
        <v>761</v>
      </c>
      <c r="B44" t="s">
        <v>742</v>
      </c>
      <c r="C44" t="s">
        <v>745</v>
      </c>
    </row>
    <row r="45" spans="1:3" x14ac:dyDescent="0.2">
      <c r="A45" t="s">
        <v>2980</v>
      </c>
      <c r="B45" t="s">
        <v>742</v>
      </c>
      <c r="C45" t="s">
        <v>774</v>
      </c>
    </row>
    <row r="46" spans="1:3" x14ac:dyDescent="0.2">
      <c r="A46" t="s">
        <v>2981</v>
      </c>
      <c r="B46" t="s">
        <v>742</v>
      </c>
      <c r="C46" t="s">
        <v>774</v>
      </c>
    </row>
    <row r="47" spans="1:3" x14ac:dyDescent="0.2">
      <c r="A47" t="s">
        <v>2982</v>
      </c>
      <c r="B47" t="s">
        <v>742</v>
      </c>
      <c r="C47" t="s">
        <v>774</v>
      </c>
    </row>
    <row r="48" spans="1:3" x14ac:dyDescent="0.2">
      <c r="A48" t="s">
        <v>2983</v>
      </c>
      <c r="B48" t="s">
        <v>742</v>
      </c>
      <c r="C48" t="s">
        <v>774</v>
      </c>
    </row>
    <row r="49" spans="1:3" x14ac:dyDescent="0.2">
      <c r="A49" t="s">
        <v>2984</v>
      </c>
      <c r="B49" t="s">
        <v>742</v>
      </c>
      <c r="C49" t="s">
        <v>774</v>
      </c>
    </row>
    <row r="50" spans="1:3" x14ac:dyDescent="0.2">
      <c r="A50" t="s">
        <v>2985</v>
      </c>
      <c r="B50" t="s">
        <v>742</v>
      </c>
      <c r="C50" t="s">
        <v>774</v>
      </c>
    </row>
    <row r="51" spans="1:3" x14ac:dyDescent="0.2">
      <c r="A51" t="s">
        <v>2986</v>
      </c>
      <c r="B51" t="s">
        <v>742</v>
      </c>
      <c r="C51" t="s">
        <v>774</v>
      </c>
    </row>
    <row r="52" spans="1:3" x14ac:dyDescent="0.2">
      <c r="A52" t="s">
        <v>2987</v>
      </c>
      <c r="B52" t="s">
        <v>742</v>
      </c>
      <c r="C52" t="s">
        <v>774</v>
      </c>
    </row>
    <row r="53" spans="1:3" x14ac:dyDescent="0.2">
      <c r="A53" t="s">
        <v>2988</v>
      </c>
      <c r="B53" t="s">
        <v>742</v>
      </c>
      <c r="C53" t="s">
        <v>774</v>
      </c>
    </row>
    <row r="54" spans="1:3" x14ac:dyDescent="0.2">
      <c r="A54" t="s">
        <v>2989</v>
      </c>
      <c r="B54" t="s">
        <v>742</v>
      </c>
      <c r="C54" t="s">
        <v>774</v>
      </c>
    </row>
    <row r="55" spans="1:3" x14ac:dyDescent="0.2">
      <c r="A55" t="s">
        <v>2990</v>
      </c>
      <c r="B55" t="s">
        <v>742</v>
      </c>
      <c r="C55" t="s">
        <v>774</v>
      </c>
    </row>
    <row r="56" spans="1:3" x14ac:dyDescent="0.2">
      <c r="A56" t="s">
        <v>2991</v>
      </c>
      <c r="B56" t="s">
        <v>742</v>
      </c>
      <c r="C56" t="s">
        <v>774</v>
      </c>
    </row>
    <row r="57" spans="1:3" x14ac:dyDescent="0.2">
      <c r="A57" t="s">
        <v>2992</v>
      </c>
      <c r="B57" t="s">
        <v>742</v>
      </c>
      <c r="C57" t="s">
        <v>774</v>
      </c>
    </row>
    <row r="58" spans="1:3" x14ac:dyDescent="0.2">
      <c r="A58" t="s">
        <v>2993</v>
      </c>
      <c r="B58" t="s">
        <v>742</v>
      </c>
      <c r="C58" t="s">
        <v>774</v>
      </c>
    </row>
    <row r="59" spans="1:3" x14ac:dyDescent="0.2">
      <c r="A59" t="s">
        <v>2994</v>
      </c>
      <c r="B59" t="s">
        <v>742</v>
      </c>
      <c r="C59" t="s">
        <v>774</v>
      </c>
    </row>
    <row r="60" spans="1:3" x14ac:dyDescent="0.2">
      <c r="A60" t="s">
        <v>2995</v>
      </c>
      <c r="B60" t="s">
        <v>742</v>
      </c>
      <c r="C60" t="s">
        <v>774</v>
      </c>
    </row>
    <row r="61" spans="1:3" x14ac:dyDescent="0.2">
      <c r="A61" t="s">
        <v>2996</v>
      </c>
      <c r="B61" t="s">
        <v>742</v>
      </c>
      <c r="C61" t="s">
        <v>774</v>
      </c>
    </row>
    <row r="62" spans="1:3" x14ac:dyDescent="0.2">
      <c r="A62" t="s">
        <v>2997</v>
      </c>
      <c r="B62" t="s">
        <v>742</v>
      </c>
      <c r="C62" t="s">
        <v>774</v>
      </c>
    </row>
    <row r="63" spans="1:3" x14ac:dyDescent="0.2">
      <c r="A63" t="s">
        <v>773</v>
      </c>
      <c r="B63" t="s">
        <v>742</v>
      </c>
      <c r="C63" t="s">
        <v>774</v>
      </c>
    </row>
    <row r="64" spans="1:3" x14ac:dyDescent="0.2">
      <c r="A64" t="s">
        <v>775</v>
      </c>
      <c r="B64" t="s">
        <v>742</v>
      </c>
      <c r="C64" t="s">
        <v>774</v>
      </c>
    </row>
    <row r="65" spans="1:3" x14ac:dyDescent="0.2">
      <c r="A65" t="s">
        <v>776</v>
      </c>
      <c r="B65" t="s">
        <v>742</v>
      </c>
      <c r="C65" t="s">
        <v>774</v>
      </c>
    </row>
    <row r="66" spans="1:3" x14ac:dyDescent="0.2">
      <c r="A66" t="s">
        <v>777</v>
      </c>
      <c r="B66" t="s">
        <v>742</v>
      </c>
      <c r="C66" t="s">
        <v>774</v>
      </c>
    </row>
    <row r="67" spans="1:3" x14ac:dyDescent="0.2">
      <c r="A67" t="s">
        <v>778</v>
      </c>
      <c r="B67" t="s">
        <v>742</v>
      </c>
      <c r="C67" t="s">
        <v>774</v>
      </c>
    </row>
    <row r="68" spans="1:3" x14ac:dyDescent="0.2">
      <c r="A68" t="s">
        <v>779</v>
      </c>
      <c r="B68" t="s">
        <v>742</v>
      </c>
      <c r="C68" t="s">
        <v>774</v>
      </c>
    </row>
    <row r="69" spans="1:3" x14ac:dyDescent="0.2">
      <c r="A69" t="s">
        <v>780</v>
      </c>
      <c r="B69" t="s">
        <v>742</v>
      </c>
      <c r="C69" t="s">
        <v>774</v>
      </c>
    </row>
    <row r="70" spans="1:3" x14ac:dyDescent="0.2">
      <c r="A70" t="s">
        <v>781</v>
      </c>
      <c r="B70" t="s">
        <v>742</v>
      </c>
      <c r="C70" t="s">
        <v>774</v>
      </c>
    </row>
    <row r="71" spans="1:3" x14ac:dyDescent="0.2">
      <c r="A71" t="s">
        <v>782</v>
      </c>
      <c r="B71" t="s">
        <v>742</v>
      </c>
      <c r="C71" t="s">
        <v>774</v>
      </c>
    </row>
    <row r="72" spans="1:3" x14ac:dyDescent="0.2">
      <c r="A72" t="s">
        <v>783</v>
      </c>
      <c r="B72" t="s">
        <v>742</v>
      </c>
      <c r="C72" t="s">
        <v>774</v>
      </c>
    </row>
    <row r="73" spans="1:3" x14ac:dyDescent="0.2">
      <c r="A73" t="s">
        <v>784</v>
      </c>
      <c r="B73" t="s">
        <v>742</v>
      </c>
      <c r="C73" t="s">
        <v>774</v>
      </c>
    </row>
    <row r="74" spans="1:3" x14ac:dyDescent="0.2">
      <c r="A74" t="s">
        <v>785</v>
      </c>
      <c r="B74" t="s">
        <v>742</v>
      </c>
      <c r="C74" t="s">
        <v>774</v>
      </c>
    </row>
    <row r="75" spans="1:3" x14ac:dyDescent="0.2">
      <c r="A75" t="s">
        <v>786</v>
      </c>
      <c r="B75" t="s">
        <v>742</v>
      </c>
      <c r="C75" t="s">
        <v>774</v>
      </c>
    </row>
    <row r="76" spans="1:3" x14ac:dyDescent="0.2">
      <c r="A76" t="s">
        <v>787</v>
      </c>
      <c r="B76" t="s">
        <v>742</v>
      </c>
      <c r="C76" t="s">
        <v>774</v>
      </c>
    </row>
    <row r="77" spans="1:3" x14ac:dyDescent="0.2">
      <c r="A77" t="s">
        <v>6727</v>
      </c>
      <c r="B77" t="s">
        <v>742</v>
      </c>
      <c r="C77" t="s">
        <v>774</v>
      </c>
    </row>
    <row r="78" spans="1:3" x14ac:dyDescent="0.2">
      <c r="A78" t="s">
        <v>788</v>
      </c>
      <c r="B78" t="s">
        <v>742</v>
      </c>
      <c r="C78" t="s">
        <v>774</v>
      </c>
    </row>
    <row r="79" spans="1:3" x14ac:dyDescent="0.2">
      <c r="A79" t="s">
        <v>789</v>
      </c>
      <c r="B79" t="s">
        <v>742</v>
      </c>
      <c r="C79" t="s">
        <v>774</v>
      </c>
    </row>
    <row r="80" spans="1:3" x14ac:dyDescent="0.2">
      <c r="A80" t="s">
        <v>2998</v>
      </c>
      <c r="B80" t="s">
        <v>742</v>
      </c>
      <c r="C80" t="s">
        <v>763</v>
      </c>
    </row>
    <row r="81" spans="1:3" x14ac:dyDescent="0.2">
      <c r="A81" t="s">
        <v>2999</v>
      </c>
      <c r="B81" t="s">
        <v>742</v>
      </c>
      <c r="C81" t="s">
        <v>763</v>
      </c>
    </row>
    <row r="82" spans="1:3" x14ac:dyDescent="0.2">
      <c r="A82" t="s">
        <v>3000</v>
      </c>
      <c r="B82" t="s">
        <v>742</v>
      </c>
      <c r="C82" t="s">
        <v>763</v>
      </c>
    </row>
    <row r="83" spans="1:3" x14ac:dyDescent="0.2">
      <c r="A83" t="s">
        <v>3001</v>
      </c>
      <c r="B83" t="s">
        <v>742</v>
      </c>
      <c r="C83" t="s">
        <v>763</v>
      </c>
    </row>
    <row r="84" spans="1:3" x14ac:dyDescent="0.2">
      <c r="A84" t="s">
        <v>3002</v>
      </c>
      <c r="B84" t="s">
        <v>742</v>
      </c>
      <c r="C84" t="s">
        <v>763</v>
      </c>
    </row>
    <row r="85" spans="1:3" x14ac:dyDescent="0.2">
      <c r="A85" t="s">
        <v>762</v>
      </c>
      <c r="B85" t="s">
        <v>742</v>
      </c>
      <c r="C85" t="s">
        <v>763</v>
      </c>
    </row>
    <row r="86" spans="1:3" x14ac:dyDescent="0.2">
      <c r="A86" t="s">
        <v>764</v>
      </c>
      <c r="B86" t="s">
        <v>742</v>
      </c>
      <c r="C86" t="s">
        <v>763</v>
      </c>
    </row>
    <row r="87" spans="1:3" x14ac:dyDescent="0.2">
      <c r="A87" t="s">
        <v>765</v>
      </c>
      <c r="B87" t="s">
        <v>742</v>
      </c>
      <c r="C87" t="s">
        <v>763</v>
      </c>
    </row>
    <row r="88" spans="1:3" x14ac:dyDescent="0.2">
      <c r="A88" t="s">
        <v>766</v>
      </c>
      <c r="B88" t="s">
        <v>742</v>
      </c>
      <c r="C88" t="s">
        <v>763</v>
      </c>
    </row>
    <row r="89" spans="1:3" x14ac:dyDescent="0.2">
      <c r="A89" t="s">
        <v>767</v>
      </c>
      <c r="B89" t="s">
        <v>742</v>
      </c>
      <c r="C89" t="s">
        <v>763</v>
      </c>
    </row>
    <row r="90" spans="1:3" x14ac:dyDescent="0.2">
      <c r="A90" t="s">
        <v>3003</v>
      </c>
      <c r="B90" t="s">
        <v>742</v>
      </c>
      <c r="C90" t="s">
        <v>763</v>
      </c>
    </row>
    <row r="91" spans="1:3" x14ac:dyDescent="0.2">
      <c r="A91" t="s">
        <v>3004</v>
      </c>
      <c r="B91" t="s">
        <v>742</v>
      </c>
      <c r="C91" t="s">
        <v>763</v>
      </c>
    </row>
    <row r="92" spans="1:3" x14ac:dyDescent="0.2">
      <c r="A92" t="s">
        <v>3005</v>
      </c>
      <c r="B92" t="s">
        <v>742</v>
      </c>
      <c r="C92" t="s">
        <v>763</v>
      </c>
    </row>
    <row r="93" spans="1:3" x14ac:dyDescent="0.2">
      <c r="A93" t="s">
        <v>3006</v>
      </c>
      <c r="B93" t="s">
        <v>742</v>
      </c>
      <c r="C93" t="s">
        <v>763</v>
      </c>
    </row>
    <row r="94" spans="1:3" x14ac:dyDescent="0.2">
      <c r="A94" t="s">
        <v>3007</v>
      </c>
      <c r="B94" t="s">
        <v>742</v>
      </c>
      <c r="C94" t="s">
        <v>763</v>
      </c>
    </row>
    <row r="95" spans="1:3" x14ac:dyDescent="0.2">
      <c r="A95" t="s">
        <v>768</v>
      </c>
      <c r="B95" t="s">
        <v>742</v>
      </c>
      <c r="C95" t="s">
        <v>763</v>
      </c>
    </row>
    <row r="96" spans="1:3" x14ac:dyDescent="0.2">
      <c r="A96" t="s">
        <v>769</v>
      </c>
      <c r="B96" t="s">
        <v>742</v>
      </c>
      <c r="C96" t="s">
        <v>763</v>
      </c>
    </row>
    <row r="97" spans="1:3" x14ac:dyDescent="0.2">
      <c r="A97" t="s">
        <v>770</v>
      </c>
      <c r="B97" t="s">
        <v>742</v>
      </c>
      <c r="C97" t="s">
        <v>763</v>
      </c>
    </row>
    <row r="98" spans="1:3" x14ac:dyDescent="0.2">
      <c r="A98" t="s">
        <v>771</v>
      </c>
      <c r="B98" t="s">
        <v>742</v>
      </c>
      <c r="C98" t="s">
        <v>763</v>
      </c>
    </row>
    <row r="99" spans="1:3" x14ac:dyDescent="0.2">
      <c r="A99" t="s">
        <v>772</v>
      </c>
      <c r="B99" t="s">
        <v>742</v>
      </c>
      <c r="C99" t="s">
        <v>763</v>
      </c>
    </row>
    <row r="100" spans="1:3" x14ac:dyDescent="0.2">
      <c r="A100" t="s">
        <v>6375</v>
      </c>
      <c r="B100" t="s">
        <v>742</v>
      </c>
      <c r="C100" t="s">
        <v>5969</v>
      </c>
    </row>
    <row r="101" spans="1:3" x14ac:dyDescent="0.2">
      <c r="A101" t="s">
        <v>6376</v>
      </c>
      <c r="B101" t="s">
        <v>742</v>
      </c>
      <c r="C101" t="s">
        <v>5969</v>
      </c>
    </row>
    <row r="102" spans="1:3" x14ac:dyDescent="0.2">
      <c r="A102" t="s">
        <v>6377</v>
      </c>
      <c r="B102" t="s">
        <v>742</v>
      </c>
      <c r="C102" t="s">
        <v>5969</v>
      </c>
    </row>
    <row r="103" spans="1:3" x14ac:dyDescent="0.2">
      <c r="A103" t="s">
        <v>6378</v>
      </c>
      <c r="B103" t="s">
        <v>742</v>
      </c>
      <c r="C103" t="s">
        <v>5969</v>
      </c>
    </row>
    <row r="104" spans="1:3" x14ac:dyDescent="0.2">
      <c r="A104" t="s">
        <v>6379</v>
      </c>
      <c r="B104" t="s">
        <v>742</v>
      </c>
      <c r="C104" t="s">
        <v>5969</v>
      </c>
    </row>
    <row r="105" spans="1:3" x14ac:dyDescent="0.2">
      <c r="A105" t="s">
        <v>6380</v>
      </c>
      <c r="B105" t="s">
        <v>742</v>
      </c>
      <c r="C105" t="s">
        <v>5969</v>
      </c>
    </row>
    <row r="106" spans="1:3" x14ac:dyDescent="0.2">
      <c r="A106" t="s">
        <v>5966</v>
      </c>
      <c r="B106" t="s">
        <v>742</v>
      </c>
      <c r="C106" t="s">
        <v>5969</v>
      </c>
    </row>
    <row r="107" spans="1:3" x14ac:dyDescent="0.2">
      <c r="A107" t="s">
        <v>6381</v>
      </c>
      <c r="B107" t="s">
        <v>742</v>
      </c>
      <c r="C107" t="s">
        <v>5969</v>
      </c>
    </row>
    <row r="108" spans="1:3" x14ac:dyDescent="0.2">
      <c r="A108" t="s">
        <v>6382</v>
      </c>
      <c r="B108" t="s">
        <v>742</v>
      </c>
      <c r="C108" t="s">
        <v>5969</v>
      </c>
    </row>
    <row r="109" spans="1:3" x14ac:dyDescent="0.2">
      <c r="A109" t="s">
        <v>5967</v>
      </c>
      <c r="B109" t="s">
        <v>742</v>
      </c>
      <c r="C109" t="s">
        <v>5969</v>
      </c>
    </row>
    <row r="110" spans="1:3" x14ac:dyDescent="0.2">
      <c r="A110" t="s">
        <v>6383</v>
      </c>
      <c r="B110" t="s">
        <v>742</v>
      </c>
      <c r="C110" t="s">
        <v>5969</v>
      </c>
    </row>
    <row r="111" spans="1:3" x14ac:dyDescent="0.2">
      <c r="A111" t="s">
        <v>5968</v>
      </c>
      <c r="B111" t="s">
        <v>742</v>
      </c>
      <c r="C111" t="s">
        <v>5969</v>
      </c>
    </row>
    <row r="112" spans="1:3" x14ac:dyDescent="0.2">
      <c r="A112" t="s">
        <v>6384</v>
      </c>
      <c r="B112" t="s">
        <v>742</v>
      </c>
      <c r="C112" t="s">
        <v>5969</v>
      </c>
    </row>
    <row r="113" spans="1:3" x14ac:dyDescent="0.2">
      <c r="A113" t="s">
        <v>790</v>
      </c>
      <c r="B113" t="s">
        <v>791</v>
      </c>
      <c r="C113" t="s">
        <v>792</v>
      </c>
    </row>
    <row r="114" spans="1:3" x14ac:dyDescent="0.2">
      <c r="A114" t="s">
        <v>793</v>
      </c>
      <c r="B114" t="s">
        <v>791</v>
      </c>
      <c r="C114" t="s">
        <v>792</v>
      </c>
    </row>
    <row r="115" spans="1:3" x14ac:dyDescent="0.2">
      <c r="A115" t="s">
        <v>5256</v>
      </c>
      <c r="B115" t="s">
        <v>791</v>
      </c>
      <c r="C115" t="s">
        <v>792</v>
      </c>
    </row>
    <row r="116" spans="1:3" x14ac:dyDescent="0.2">
      <c r="A116" t="s">
        <v>794</v>
      </c>
      <c r="B116" t="s">
        <v>791</v>
      </c>
      <c r="C116" t="s">
        <v>792</v>
      </c>
    </row>
    <row r="117" spans="1:3" x14ac:dyDescent="0.2">
      <c r="A117" t="s">
        <v>795</v>
      </c>
      <c r="B117" t="s">
        <v>791</v>
      </c>
      <c r="C117" t="s">
        <v>792</v>
      </c>
    </row>
    <row r="118" spans="1:3" x14ac:dyDescent="0.2">
      <c r="A118" t="s">
        <v>4551</v>
      </c>
      <c r="B118" t="s">
        <v>791</v>
      </c>
      <c r="C118" t="s">
        <v>792</v>
      </c>
    </row>
    <row r="119" spans="1:3" x14ac:dyDescent="0.2">
      <c r="A119" t="s">
        <v>3008</v>
      </c>
      <c r="B119" t="s">
        <v>791</v>
      </c>
      <c r="C119" t="s">
        <v>792</v>
      </c>
    </row>
    <row r="120" spans="1:3" x14ac:dyDescent="0.2">
      <c r="A120" t="s">
        <v>3009</v>
      </c>
      <c r="B120" t="s">
        <v>791</v>
      </c>
      <c r="C120" t="s">
        <v>792</v>
      </c>
    </row>
    <row r="121" spans="1:3" x14ac:dyDescent="0.2">
      <c r="A121" t="s">
        <v>3010</v>
      </c>
      <c r="B121" t="s">
        <v>791</v>
      </c>
      <c r="C121" t="s">
        <v>792</v>
      </c>
    </row>
    <row r="122" spans="1:3" x14ac:dyDescent="0.2">
      <c r="A122" t="s">
        <v>796</v>
      </c>
      <c r="B122" t="s">
        <v>791</v>
      </c>
      <c r="C122" t="s">
        <v>792</v>
      </c>
    </row>
    <row r="123" spans="1:3" x14ac:dyDescent="0.2">
      <c r="A123" t="s">
        <v>6728</v>
      </c>
      <c r="B123" t="s">
        <v>791</v>
      </c>
      <c r="C123" t="s">
        <v>792</v>
      </c>
    </row>
    <row r="124" spans="1:3" x14ac:dyDescent="0.2">
      <c r="A124" t="s">
        <v>5934</v>
      </c>
      <c r="B124" t="s">
        <v>791</v>
      </c>
      <c r="C124" t="s">
        <v>792</v>
      </c>
    </row>
    <row r="125" spans="1:3" x14ac:dyDescent="0.2">
      <c r="A125" t="s">
        <v>797</v>
      </c>
      <c r="B125" t="s">
        <v>791</v>
      </c>
      <c r="C125" t="s">
        <v>792</v>
      </c>
    </row>
    <row r="126" spans="1:3" x14ac:dyDescent="0.2">
      <c r="A126" t="s">
        <v>5750</v>
      </c>
      <c r="B126" t="s">
        <v>791</v>
      </c>
      <c r="C126" t="s">
        <v>792</v>
      </c>
    </row>
    <row r="127" spans="1:3" x14ac:dyDescent="0.2">
      <c r="A127" t="s">
        <v>6729</v>
      </c>
      <c r="B127" t="s">
        <v>791</v>
      </c>
      <c r="C127" t="s">
        <v>792</v>
      </c>
    </row>
    <row r="128" spans="1:3" x14ac:dyDescent="0.2">
      <c r="A128" t="s">
        <v>5935</v>
      </c>
      <c r="B128" t="s">
        <v>791</v>
      </c>
      <c r="C128" t="s">
        <v>792</v>
      </c>
    </row>
    <row r="129" spans="1:3" x14ac:dyDescent="0.2">
      <c r="A129" t="s">
        <v>5936</v>
      </c>
      <c r="B129" t="s">
        <v>791</v>
      </c>
      <c r="C129" t="s">
        <v>792</v>
      </c>
    </row>
    <row r="130" spans="1:3" x14ac:dyDescent="0.2">
      <c r="A130" t="s">
        <v>6730</v>
      </c>
      <c r="B130" t="s">
        <v>791</v>
      </c>
      <c r="C130" t="s">
        <v>792</v>
      </c>
    </row>
    <row r="131" spans="1:3" x14ac:dyDescent="0.2">
      <c r="A131" t="s">
        <v>5751</v>
      </c>
      <c r="B131" t="s">
        <v>791</v>
      </c>
      <c r="C131" t="s">
        <v>792</v>
      </c>
    </row>
    <row r="132" spans="1:3" x14ac:dyDescent="0.2">
      <c r="A132" t="s">
        <v>5752</v>
      </c>
      <c r="B132" t="s">
        <v>791</v>
      </c>
      <c r="C132" t="s">
        <v>792</v>
      </c>
    </row>
    <row r="133" spans="1:3" x14ac:dyDescent="0.2">
      <c r="A133" t="s">
        <v>5632</v>
      </c>
      <c r="B133" t="s">
        <v>791</v>
      </c>
      <c r="C133" t="s">
        <v>792</v>
      </c>
    </row>
    <row r="134" spans="1:3" x14ac:dyDescent="0.2">
      <c r="A134" t="s">
        <v>3011</v>
      </c>
      <c r="B134" t="s">
        <v>791</v>
      </c>
      <c r="C134" t="s">
        <v>792</v>
      </c>
    </row>
    <row r="135" spans="1:3" x14ac:dyDescent="0.2">
      <c r="A135" t="s">
        <v>798</v>
      </c>
      <c r="B135" t="s">
        <v>791</v>
      </c>
      <c r="C135" t="s">
        <v>792</v>
      </c>
    </row>
    <row r="136" spans="1:3" x14ac:dyDescent="0.2">
      <c r="A136" t="s">
        <v>799</v>
      </c>
      <c r="B136" t="s">
        <v>791</v>
      </c>
      <c r="C136" t="s">
        <v>792</v>
      </c>
    </row>
    <row r="137" spans="1:3" x14ac:dyDescent="0.2">
      <c r="A137" t="s">
        <v>800</v>
      </c>
      <c r="B137" t="s">
        <v>791</v>
      </c>
      <c r="C137" t="s">
        <v>792</v>
      </c>
    </row>
    <row r="138" spans="1:3" x14ac:dyDescent="0.2">
      <c r="A138" t="s">
        <v>801</v>
      </c>
      <c r="B138" t="s">
        <v>791</v>
      </c>
      <c r="C138" t="s">
        <v>792</v>
      </c>
    </row>
    <row r="139" spans="1:3" x14ac:dyDescent="0.2">
      <c r="A139" t="s">
        <v>5105</v>
      </c>
      <c r="B139" t="s">
        <v>791</v>
      </c>
      <c r="C139" t="s">
        <v>792</v>
      </c>
    </row>
    <row r="140" spans="1:3" x14ac:dyDescent="0.2">
      <c r="A140" t="s">
        <v>802</v>
      </c>
      <c r="B140" t="s">
        <v>791</v>
      </c>
      <c r="C140" t="s">
        <v>792</v>
      </c>
    </row>
    <row r="141" spans="1:3" x14ac:dyDescent="0.2">
      <c r="A141" t="s">
        <v>803</v>
      </c>
      <c r="B141" t="s">
        <v>791</v>
      </c>
      <c r="C141" t="s">
        <v>792</v>
      </c>
    </row>
    <row r="142" spans="1:3" x14ac:dyDescent="0.2">
      <c r="A142" t="s">
        <v>3012</v>
      </c>
      <c r="B142" t="s">
        <v>791</v>
      </c>
      <c r="C142" t="s">
        <v>792</v>
      </c>
    </row>
    <row r="143" spans="1:3" x14ac:dyDescent="0.2">
      <c r="A143" t="s">
        <v>804</v>
      </c>
      <c r="B143" t="s">
        <v>791</v>
      </c>
      <c r="C143" t="s">
        <v>792</v>
      </c>
    </row>
    <row r="144" spans="1:3" x14ac:dyDescent="0.2">
      <c r="A144" t="s">
        <v>6731</v>
      </c>
      <c r="B144" t="s">
        <v>791</v>
      </c>
      <c r="C144" t="s">
        <v>806</v>
      </c>
    </row>
    <row r="145" spans="1:3" x14ac:dyDescent="0.2">
      <c r="A145" t="s">
        <v>5106</v>
      </c>
      <c r="B145" t="s">
        <v>791</v>
      </c>
      <c r="C145" t="s">
        <v>806</v>
      </c>
    </row>
    <row r="146" spans="1:3" x14ac:dyDescent="0.2">
      <c r="A146" t="s">
        <v>805</v>
      </c>
      <c r="B146" t="s">
        <v>791</v>
      </c>
      <c r="C146" t="s">
        <v>806</v>
      </c>
    </row>
    <row r="147" spans="1:3" x14ac:dyDescent="0.2">
      <c r="A147" t="s">
        <v>807</v>
      </c>
      <c r="B147" t="s">
        <v>791</v>
      </c>
      <c r="C147" t="s">
        <v>806</v>
      </c>
    </row>
    <row r="148" spans="1:3" x14ac:dyDescent="0.2">
      <c r="A148" t="s">
        <v>808</v>
      </c>
      <c r="B148" t="s">
        <v>791</v>
      </c>
      <c r="C148" t="s">
        <v>806</v>
      </c>
    </row>
    <row r="149" spans="1:3" x14ac:dyDescent="0.2">
      <c r="A149" t="s">
        <v>3013</v>
      </c>
      <c r="B149" t="s">
        <v>791</v>
      </c>
      <c r="C149" t="s">
        <v>806</v>
      </c>
    </row>
    <row r="150" spans="1:3" x14ac:dyDescent="0.2">
      <c r="A150" t="s">
        <v>809</v>
      </c>
      <c r="B150" t="s">
        <v>791</v>
      </c>
      <c r="C150" t="s">
        <v>806</v>
      </c>
    </row>
    <row r="151" spans="1:3" x14ac:dyDescent="0.2">
      <c r="A151" t="s">
        <v>810</v>
      </c>
      <c r="B151" t="s">
        <v>791</v>
      </c>
      <c r="C151" t="s">
        <v>806</v>
      </c>
    </row>
    <row r="152" spans="1:3" x14ac:dyDescent="0.2">
      <c r="A152" t="s">
        <v>811</v>
      </c>
      <c r="B152" t="s">
        <v>791</v>
      </c>
      <c r="C152" t="s">
        <v>806</v>
      </c>
    </row>
    <row r="153" spans="1:3" x14ac:dyDescent="0.2">
      <c r="A153" t="s">
        <v>812</v>
      </c>
      <c r="B153" t="s">
        <v>791</v>
      </c>
      <c r="C153" t="s">
        <v>806</v>
      </c>
    </row>
    <row r="154" spans="1:3" x14ac:dyDescent="0.2">
      <c r="A154" t="s">
        <v>813</v>
      </c>
      <c r="B154" t="s">
        <v>791</v>
      </c>
      <c r="C154" t="s">
        <v>806</v>
      </c>
    </row>
    <row r="155" spans="1:3" x14ac:dyDescent="0.2">
      <c r="A155" t="s">
        <v>814</v>
      </c>
      <c r="B155" t="s">
        <v>791</v>
      </c>
      <c r="C155" t="s">
        <v>806</v>
      </c>
    </row>
    <row r="156" spans="1:3" x14ac:dyDescent="0.2">
      <c r="A156" t="s">
        <v>815</v>
      </c>
      <c r="B156" t="s">
        <v>791</v>
      </c>
      <c r="C156" t="s">
        <v>806</v>
      </c>
    </row>
    <row r="157" spans="1:3" x14ac:dyDescent="0.2">
      <c r="A157" t="s">
        <v>816</v>
      </c>
      <c r="B157" t="s">
        <v>791</v>
      </c>
      <c r="C157" t="s">
        <v>806</v>
      </c>
    </row>
    <row r="158" spans="1:3" x14ac:dyDescent="0.2">
      <c r="A158" t="s">
        <v>817</v>
      </c>
      <c r="B158" t="s">
        <v>791</v>
      </c>
      <c r="C158" t="s">
        <v>806</v>
      </c>
    </row>
    <row r="159" spans="1:3" x14ac:dyDescent="0.2">
      <c r="A159" t="s">
        <v>818</v>
      </c>
      <c r="B159" t="s">
        <v>791</v>
      </c>
      <c r="C159" t="s">
        <v>806</v>
      </c>
    </row>
    <row r="160" spans="1:3" x14ac:dyDescent="0.2">
      <c r="A160" t="s">
        <v>819</v>
      </c>
      <c r="B160" t="s">
        <v>791</v>
      </c>
      <c r="C160" t="s">
        <v>806</v>
      </c>
    </row>
    <row r="161" spans="1:3" x14ac:dyDescent="0.2">
      <c r="A161" t="s">
        <v>820</v>
      </c>
      <c r="B161" t="s">
        <v>791</v>
      </c>
      <c r="C161" t="s">
        <v>806</v>
      </c>
    </row>
    <row r="162" spans="1:3" x14ac:dyDescent="0.2">
      <c r="A162" t="s">
        <v>821</v>
      </c>
      <c r="B162" t="s">
        <v>791</v>
      </c>
      <c r="C162" t="s">
        <v>806</v>
      </c>
    </row>
    <row r="163" spans="1:3" x14ac:dyDescent="0.2">
      <c r="A163" t="s">
        <v>822</v>
      </c>
      <c r="B163" t="s">
        <v>791</v>
      </c>
      <c r="C163" t="s">
        <v>806</v>
      </c>
    </row>
    <row r="164" spans="1:3" x14ac:dyDescent="0.2">
      <c r="A164" t="s">
        <v>823</v>
      </c>
      <c r="B164" t="s">
        <v>791</v>
      </c>
      <c r="C164" t="s">
        <v>824</v>
      </c>
    </row>
    <row r="165" spans="1:3" x14ac:dyDescent="0.2">
      <c r="A165" t="s">
        <v>825</v>
      </c>
      <c r="B165" t="s">
        <v>791</v>
      </c>
      <c r="C165" t="s">
        <v>824</v>
      </c>
    </row>
    <row r="166" spans="1:3" x14ac:dyDescent="0.2">
      <c r="A166" t="s">
        <v>907</v>
      </c>
      <c r="B166" t="s">
        <v>898</v>
      </c>
      <c r="C166" t="s">
        <v>908</v>
      </c>
    </row>
    <row r="167" spans="1:3" x14ac:dyDescent="0.2">
      <c r="A167" t="s">
        <v>909</v>
      </c>
      <c r="B167" t="s">
        <v>898</v>
      </c>
      <c r="C167" t="s">
        <v>910</v>
      </c>
    </row>
    <row r="168" spans="1:3" x14ac:dyDescent="0.2">
      <c r="A168" t="s">
        <v>6732</v>
      </c>
      <c r="B168" t="s">
        <v>898</v>
      </c>
      <c r="C168" t="s">
        <v>912</v>
      </c>
    </row>
    <row r="169" spans="1:3" x14ac:dyDescent="0.2">
      <c r="A169" t="s">
        <v>911</v>
      </c>
      <c r="B169" t="s">
        <v>898</v>
      </c>
      <c r="C169" t="s">
        <v>912</v>
      </c>
    </row>
    <row r="170" spans="1:3" x14ac:dyDescent="0.2">
      <c r="A170" t="s">
        <v>913</v>
      </c>
      <c r="B170" t="s">
        <v>898</v>
      </c>
      <c r="C170" t="s">
        <v>912</v>
      </c>
    </row>
    <row r="171" spans="1:3" x14ac:dyDescent="0.2">
      <c r="A171" t="s">
        <v>914</v>
      </c>
      <c r="B171" t="s">
        <v>898</v>
      </c>
      <c r="C171" t="s">
        <v>912</v>
      </c>
    </row>
    <row r="172" spans="1:3" x14ac:dyDescent="0.2">
      <c r="A172" t="s">
        <v>915</v>
      </c>
      <c r="B172" t="s">
        <v>898</v>
      </c>
      <c r="C172" t="s">
        <v>912</v>
      </c>
    </row>
    <row r="173" spans="1:3" x14ac:dyDescent="0.2">
      <c r="A173" t="s">
        <v>5455</v>
      </c>
      <c r="B173" t="s">
        <v>898</v>
      </c>
      <c r="C173" t="s">
        <v>912</v>
      </c>
    </row>
    <row r="174" spans="1:3" x14ac:dyDescent="0.2">
      <c r="A174" t="s">
        <v>3014</v>
      </c>
      <c r="B174" t="s">
        <v>898</v>
      </c>
      <c r="C174" t="s">
        <v>912</v>
      </c>
    </row>
    <row r="175" spans="1:3" x14ac:dyDescent="0.2">
      <c r="A175" t="s">
        <v>916</v>
      </c>
      <c r="B175" t="s">
        <v>898</v>
      </c>
      <c r="C175" t="s">
        <v>912</v>
      </c>
    </row>
    <row r="176" spans="1:3" x14ac:dyDescent="0.2">
      <c r="A176" t="s">
        <v>5156</v>
      </c>
      <c r="B176" t="s">
        <v>898</v>
      </c>
      <c r="C176" t="s">
        <v>912</v>
      </c>
    </row>
    <row r="177" spans="1:3" x14ac:dyDescent="0.2">
      <c r="A177" t="s">
        <v>917</v>
      </c>
      <c r="B177" t="s">
        <v>898</v>
      </c>
      <c r="C177" t="s">
        <v>912</v>
      </c>
    </row>
    <row r="178" spans="1:3" x14ac:dyDescent="0.2">
      <c r="A178" t="s">
        <v>918</v>
      </c>
      <c r="B178" t="s">
        <v>898</v>
      </c>
      <c r="C178" t="s">
        <v>912</v>
      </c>
    </row>
    <row r="179" spans="1:3" x14ac:dyDescent="0.2">
      <c r="A179" t="s">
        <v>919</v>
      </c>
      <c r="B179" t="s">
        <v>898</v>
      </c>
      <c r="C179" t="s">
        <v>912</v>
      </c>
    </row>
    <row r="180" spans="1:3" x14ac:dyDescent="0.2">
      <c r="A180" t="s">
        <v>6733</v>
      </c>
      <c r="B180" t="s">
        <v>898</v>
      </c>
      <c r="C180" t="s">
        <v>912</v>
      </c>
    </row>
    <row r="181" spans="1:3" x14ac:dyDescent="0.2">
      <c r="A181" t="s">
        <v>920</v>
      </c>
      <c r="B181" t="s">
        <v>898</v>
      </c>
      <c r="C181" t="s">
        <v>912</v>
      </c>
    </row>
    <row r="182" spans="1:3" x14ac:dyDescent="0.2">
      <c r="A182" t="s">
        <v>921</v>
      </c>
      <c r="B182" t="s">
        <v>898</v>
      </c>
      <c r="C182" t="s">
        <v>912</v>
      </c>
    </row>
    <row r="183" spans="1:3" x14ac:dyDescent="0.2">
      <c r="A183" t="s">
        <v>922</v>
      </c>
      <c r="B183" t="s">
        <v>898</v>
      </c>
      <c r="C183" t="s">
        <v>912</v>
      </c>
    </row>
    <row r="184" spans="1:3" x14ac:dyDescent="0.2">
      <c r="A184" t="s">
        <v>923</v>
      </c>
      <c r="B184" t="s">
        <v>898</v>
      </c>
      <c r="C184" t="s">
        <v>912</v>
      </c>
    </row>
    <row r="185" spans="1:3" x14ac:dyDescent="0.2">
      <c r="A185" t="s">
        <v>5625</v>
      </c>
      <c r="B185" t="s">
        <v>898</v>
      </c>
      <c r="C185" t="s">
        <v>912</v>
      </c>
    </row>
    <row r="186" spans="1:3" x14ac:dyDescent="0.2">
      <c r="A186" t="s">
        <v>924</v>
      </c>
      <c r="B186" t="s">
        <v>898</v>
      </c>
      <c r="C186" t="s">
        <v>912</v>
      </c>
    </row>
    <row r="187" spans="1:3" x14ac:dyDescent="0.2">
      <c r="A187" t="s">
        <v>925</v>
      </c>
      <c r="B187" t="s">
        <v>898</v>
      </c>
      <c r="C187" t="s">
        <v>912</v>
      </c>
    </row>
    <row r="188" spans="1:3" x14ac:dyDescent="0.2">
      <c r="A188" t="s">
        <v>926</v>
      </c>
      <c r="B188" t="s">
        <v>898</v>
      </c>
      <c r="C188" t="s">
        <v>912</v>
      </c>
    </row>
    <row r="189" spans="1:3" x14ac:dyDescent="0.2">
      <c r="A189" t="s">
        <v>927</v>
      </c>
      <c r="B189" t="s">
        <v>898</v>
      </c>
      <c r="C189" t="s">
        <v>912</v>
      </c>
    </row>
    <row r="190" spans="1:3" x14ac:dyDescent="0.2">
      <c r="A190" t="s">
        <v>928</v>
      </c>
      <c r="B190" t="s">
        <v>898</v>
      </c>
      <c r="C190" t="s">
        <v>912</v>
      </c>
    </row>
    <row r="191" spans="1:3" x14ac:dyDescent="0.2">
      <c r="A191" t="s">
        <v>929</v>
      </c>
      <c r="B191" t="s">
        <v>898</v>
      </c>
      <c r="C191" t="s">
        <v>912</v>
      </c>
    </row>
    <row r="192" spans="1:3" x14ac:dyDescent="0.2">
      <c r="A192" t="s">
        <v>930</v>
      </c>
      <c r="B192" t="s">
        <v>898</v>
      </c>
      <c r="C192" t="s">
        <v>912</v>
      </c>
    </row>
    <row r="193" spans="1:3" x14ac:dyDescent="0.2">
      <c r="A193" t="s">
        <v>931</v>
      </c>
      <c r="B193" t="s">
        <v>898</v>
      </c>
      <c r="C193" t="s">
        <v>912</v>
      </c>
    </row>
    <row r="194" spans="1:3" x14ac:dyDescent="0.2">
      <c r="A194" t="s">
        <v>932</v>
      </c>
      <c r="B194" t="s">
        <v>898</v>
      </c>
      <c r="C194" t="s">
        <v>912</v>
      </c>
    </row>
    <row r="195" spans="1:3" x14ac:dyDescent="0.2">
      <c r="A195" t="s">
        <v>933</v>
      </c>
      <c r="B195" t="s">
        <v>898</v>
      </c>
      <c r="C195" t="s">
        <v>912</v>
      </c>
    </row>
    <row r="196" spans="1:3" x14ac:dyDescent="0.2">
      <c r="A196" t="s">
        <v>934</v>
      </c>
      <c r="B196" t="s">
        <v>898</v>
      </c>
      <c r="C196" t="s">
        <v>912</v>
      </c>
    </row>
    <row r="197" spans="1:3" x14ac:dyDescent="0.2">
      <c r="A197" t="s">
        <v>935</v>
      </c>
      <c r="B197" t="s">
        <v>898</v>
      </c>
      <c r="C197" t="s">
        <v>912</v>
      </c>
    </row>
    <row r="198" spans="1:3" x14ac:dyDescent="0.2">
      <c r="A198" t="s">
        <v>5753</v>
      </c>
      <c r="B198" t="s">
        <v>898</v>
      </c>
      <c r="C198" t="s">
        <v>912</v>
      </c>
    </row>
    <row r="199" spans="1:3" x14ac:dyDescent="0.2">
      <c r="A199" t="s">
        <v>936</v>
      </c>
      <c r="B199" t="s">
        <v>898</v>
      </c>
      <c r="C199" t="s">
        <v>912</v>
      </c>
    </row>
    <row r="200" spans="1:3" x14ac:dyDescent="0.2">
      <c r="A200" t="s">
        <v>937</v>
      </c>
      <c r="B200" t="s">
        <v>898</v>
      </c>
      <c r="C200" t="s">
        <v>912</v>
      </c>
    </row>
    <row r="201" spans="1:3" x14ac:dyDescent="0.2">
      <c r="A201" t="s">
        <v>938</v>
      </c>
      <c r="B201" t="s">
        <v>898</v>
      </c>
      <c r="C201" t="s">
        <v>912</v>
      </c>
    </row>
    <row r="202" spans="1:3" x14ac:dyDescent="0.2">
      <c r="A202" t="s">
        <v>939</v>
      </c>
      <c r="B202" t="s">
        <v>898</v>
      </c>
      <c r="C202" t="s">
        <v>912</v>
      </c>
    </row>
    <row r="203" spans="1:3" x14ac:dyDescent="0.2">
      <c r="A203" t="s">
        <v>6734</v>
      </c>
      <c r="B203" t="s">
        <v>898</v>
      </c>
      <c r="C203" t="s">
        <v>912</v>
      </c>
    </row>
    <row r="204" spans="1:3" x14ac:dyDescent="0.2">
      <c r="A204" t="s">
        <v>940</v>
      </c>
      <c r="B204" t="s">
        <v>898</v>
      </c>
      <c r="C204" t="s">
        <v>912</v>
      </c>
    </row>
    <row r="205" spans="1:3" x14ac:dyDescent="0.2">
      <c r="A205" t="s">
        <v>941</v>
      </c>
      <c r="B205" t="s">
        <v>898</v>
      </c>
      <c r="C205" t="s">
        <v>912</v>
      </c>
    </row>
    <row r="206" spans="1:3" x14ac:dyDescent="0.2">
      <c r="A206" t="s">
        <v>942</v>
      </c>
      <c r="B206" t="s">
        <v>898</v>
      </c>
      <c r="C206" t="s">
        <v>912</v>
      </c>
    </row>
    <row r="207" spans="1:3" x14ac:dyDescent="0.2">
      <c r="A207" t="s">
        <v>4552</v>
      </c>
      <c r="B207" t="s">
        <v>898</v>
      </c>
      <c r="C207" t="s">
        <v>912</v>
      </c>
    </row>
    <row r="208" spans="1:3" x14ac:dyDescent="0.2">
      <c r="A208" t="s">
        <v>943</v>
      </c>
      <c r="B208" t="s">
        <v>898</v>
      </c>
      <c r="C208" t="s">
        <v>912</v>
      </c>
    </row>
    <row r="209" spans="1:3" x14ac:dyDescent="0.2">
      <c r="A209" t="s">
        <v>944</v>
      </c>
      <c r="B209" t="s">
        <v>898</v>
      </c>
      <c r="C209" t="s">
        <v>912</v>
      </c>
    </row>
    <row r="210" spans="1:3" x14ac:dyDescent="0.2">
      <c r="A210" t="s">
        <v>945</v>
      </c>
      <c r="B210" t="s">
        <v>898</v>
      </c>
      <c r="C210" t="s">
        <v>912</v>
      </c>
    </row>
    <row r="211" spans="1:3" x14ac:dyDescent="0.2">
      <c r="A211" t="s">
        <v>946</v>
      </c>
      <c r="B211" t="s">
        <v>898</v>
      </c>
      <c r="C211" t="s">
        <v>912</v>
      </c>
    </row>
    <row r="212" spans="1:3" x14ac:dyDescent="0.2">
      <c r="A212" t="s">
        <v>947</v>
      </c>
      <c r="B212" t="s">
        <v>898</v>
      </c>
      <c r="C212" t="s">
        <v>912</v>
      </c>
    </row>
    <row r="213" spans="1:3" x14ac:dyDescent="0.2">
      <c r="A213" t="s">
        <v>3015</v>
      </c>
      <c r="B213" t="s">
        <v>898</v>
      </c>
      <c r="C213" t="s">
        <v>912</v>
      </c>
    </row>
    <row r="214" spans="1:3" x14ac:dyDescent="0.2">
      <c r="A214" t="s">
        <v>948</v>
      </c>
      <c r="B214" t="s">
        <v>898</v>
      </c>
      <c r="C214" t="s">
        <v>912</v>
      </c>
    </row>
    <row r="215" spans="1:3" x14ac:dyDescent="0.2">
      <c r="A215" t="s">
        <v>949</v>
      </c>
      <c r="B215" t="s">
        <v>898</v>
      </c>
      <c r="C215" t="s">
        <v>912</v>
      </c>
    </row>
    <row r="216" spans="1:3" x14ac:dyDescent="0.2">
      <c r="A216" t="s">
        <v>950</v>
      </c>
      <c r="B216" t="s">
        <v>898</v>
      </c>
      <c r="C216" t="s">
        <v>912</v>
      </c>
    </row>
    <row r="217" spans="1:3" x14ac:dyDescent="0.2">
      <c r="A217" t="s">
        <v>4922</v>
      </c>
      <c r="B217" t="s">
        <v>898</v>
      </c>
      <c r="C217" t="s">
        <v>912</v>
      </c>
    </row>
    <row r="218" spans="1:3" x14ac:dyDescent="0.2">
      <c r="A218" t="s">
        <v>951</v>
      </c>
      <c r="B218" t="s">
        <v>898</v>
      </c>
      <c r="C218" t="s">
        <v>912</v>
      </c>
    </row>
    <row r="219" spans="1:3" x14ac:dyDescent="0.2">
      <c r="A219" t="s">
        <v>952</v>
      </c>
      <c r="B219" t="s">
        <v>898</v>
      </c>
      <c r="C219" t="s">
        <v>912</v>
      </c>
    </row>
    <row r="220" spans="1:3" x14ac:dyDescent="0.2">
      <c r="A220" t="s">
        <v>953</v>
      </c>
      <c r="B220" t="s">
        <v>898</v>
      </c>
      <c r="C220" t="s">
        <v>912</v>
      </c>
    </row>
    <row r="221" spans="1:3" x14ac:dyDescent="0.2">
      <c r="A221" t="s">
        <v>954</v>
      </c>
      <c r="B221" t="s">
        <v>898</v>
      </c>
      <c r="C221" t="s">
        <v>912</v>
      </c>
    </row>
    <row r="222" spans="1:3" x14ac:dyDescent="0.2">
      <c r="A222" t="s">
        <v>955</v>
      </c>
      <c r="B222" t="s">
        <v>898</v>
      </c>
      <c r="C222" t="s">
        <v>912</v>
      </c>
    </row>
    <row r="223" spans="1:3" x14ac:dyDescent="0.2">
      <c r="A223" t="s">
        <v>956</v>
      </c>
      <c r="B223" t="s">
        <v>898</v>
      </c>
      <c r="C223" t="s">
        <v>912</v>
      </c>
    </row>
    <row r="224" spans="1:3" x14ac:dyDescent="0.2">
      <c r="A224" t="s">
        <v>957</v>
      </c>
      <c r="B224" t="s">
        <v>898</v>
      </c>
      <c r="C224" t="s">
        <v>912</v>
      </c>
    </row>
    <row r="225" spans="1:3" x14ac:dyDescent="0.2">
      <c r="A225" t="s">
        <v>958</v>
      </c>
      <c r="B225" t="s">
        <v>898</v>
      </c>
      <c r="C225" t="s">
        <v>912</v>
      </c>
    </row>
    <row r="226" spans="1:3" x14ac:dyDescent="0.2">
      <c r="A226" t="s">
        <v>3016</v>
      </c>
      <c r="B226" t="s">
        <v>898</v>
      </c>
      <c r="C226" t="s">
        <v>912</v>
      </c>
    </row>
    <row r="227" spans="1:3" x14ac:dyDescent="0.2">
      <c r="A227" t="s">
        <v>5456</v>
      </c>
      <c r="B227" t="s">
        <v>898</v>
      </c>
      <c r="C227" t="s">
        <v>912</v>
      </c>
    </row>
    <row r="228" spans="1:3" x14ac:dyDescent="0.2">
      <c r="A228" t="s">
        <v>5157</v>
      </c>
      <c r="B228" t="s">
        <v>898</v>
      </c>
      <c r="C228" t="s">
        <v>912</v>
      </c>
    </row>
    <row r="229" spans="1:3" x14ac:dyDescent="0.2">
      <c r="A229" t="s">
        <v>959</v>
      </c>
      <c r="B229" t="s">
        <v>898</v>
      </c>
      <c r="C229" t="s">
        <v>912</v>
      </c>
    </row>
    <row r="230" spans="1:3" x14ac:dyDescent="0.2">
      <c r="A230" t="s">
        <v>960</v>
      </c>
      <c r="B230" t="s">
        <v>898</v>
      </c>
      <c r="C230" t="s">
        <v>912</v>
      </c>
    </row>
    <row r="231" spans="1:3" x14ac:dyDescent="0.2">
      <c r="A231" t="s">
        <v>961</v>
      </c>
      <c r="B231" t="s">
        <v>898</v>
      </c>
      <c r="C231" t="s">
        <v>912</v>
      </c>
    </row>
    <row r="232" spans="1:3" x14ac:dyDescent="0.2">
      <c r="A232" t="s">
        <v>962</v>
      </c>
      <c r="B232" t="s">
        <v>898</v>
      </c>
      <c r="C232" t="s">
        <v>912</v>
      </c>
    </row>
    <row r="233" spans="1:3" x14ac:dyDescent="0.2">
      <c r="A233" t="s">
        <v>963</v>
      </c>
      <c r="B233" t="s">
        <v>898</v>
      </c>
      <c r="C233" t="s">
        <v>912</v>
      </c>
    </row>
    <row r="234" spans="1:3" x14ac:dyDescent="0.2">
      <c r="A234" t="s">
        <v>6735</v>
      </c>
      <c r="B234" t="s">
        <v>898</v>
      </c>
      <c r="C234" t="s">
        <v>912</v>
      </c>
    </row>
    <row r="235" spans="1:3" x14ac:dyDescent="0.2">
      <c r="A235" t="s">
        <v>964</v>
      </c>
      <c r="B235" t="s">
        <v>898</v>
      </c>
      <c r="C235" t="s">
        <v>912</v>
      </c>
    </row>
    <row r="236" spans="1:3" x14ac:dyDescent="0.2">
      <c r="A236" t="s">
        <v>965</v>
      </c>
      <c r="B236" t="s">
        <v>898</v>
      </c>
      <c r="C236" t="s">
        <v>912</v>
      </c>
    </row>
    <row r="237" spans="1:3" x14ac:dyDescent="0.2">
      <c r="A237" t="s">
        <v>966</v>
      </c>
      <c r="B237" t="s">
        <v>898</v>
      </c>
      <c r="C237" t="s">
        <v>912</v>
      </c>
    </row>
    <row r="238" spans="1:3" x14ac:dyDescent="0.2">
      <c r="A238" t="s">
        <v>967</v>
      </c>
      <c r="B238" t="s">
        <v>898</v>
      </c>
      <c r="C238" t="s">
        <v>912</v>
      </c>
    </row>
    <row r="239" spans="1:3" x14ac:dyDescent="0.2">
      <c r="A239" t="s">
        <v>968</v>
      </c>
      <c r="B239" t="s">
        <v>898</v>
      </c>
      <c r="C239" t="s">
        <v>912</v>
      </c>
    </row>
    <row r="240" spans="1:3" x14ac:dyDescent="0.2">
      <c r="A240" t="s">
        <v>5754</v>
      </c>
      <c r="B240" t="s">
        <v>898</v>
      </c>
      <c r="C240" t="s">
        <v>912</v>
      </c>
    </row>
    <row r="241" spans="1:3" x14ac:dyDescent="0.2">
      <c r="A241" t="s">
        <v>5158</v>
      </c>
      <c r="B241" t="s">
        <v>898</v>
      </c>
      <c r="C241" t="s">
        <v>912</v>
      </c>
    </row>
    <row r="242" spans="1:3" x14ac:dyDescent="0.2">
      <c r="A242" t="s">
        <v>969</v>
      </c>
      <c r="B242" t="s">
        <v>898</v>
      </c>
      <c r="C242" t="s">
        <v>912</v>
      </c>
    </row>
    <row r="243" spans="1:3" x14ac:dyDescent="0.2">
      <c r="A243" t="s">
        <v>970</v>
      </c>
      <c r="B243" t="s">
        <v>898</v>
      </c>
      <c r="C243" t="s">
        <v>912</v>
      </c>
    </row>
    <row r="244" spans="1:3" x14ac:dyDescent="0.2">
      <c r="A244" t="s">
        <v>971</v>
      </c>
      <c r="B244" t="s">
        <v>898</v>
      </c>
      <c r="C244" t="s">
        <v>912</v>
      </c>
    </row>
    <row r="245" spans="1:3" x14ac:dyDescent="0.2">
      <c r="A245" t="s">
        <v>972</v>
      </c>
      <c r="B245" t="s">
        <v>898</v>
      </c>
      <c r="C245" t="s">
        <v>912</v>
      </c>
    </row>
    <row r="246" spans="1:3" x14ac:dyDescent="0.2">
      <c r="A246" t="s">
        <v>973</v>
      </c>
      <c r="B246" t="s">
        <v>898</v>
      </c>
      <c r="C246" t="s">
        <v>912</v>
      </c>
    </row>
    <row r="247" spans="1:3" x14ac:dyDescent="0.2">
      <c r="A247" t="s">
        <v>974</v>
      </c>
      <c r="B247" t="s">
        <v>898</v>
      </c>
      <c r="C247" t="s">
        <v>912</v>
      </c>
    </row>
    <row r="248" spans="1:3" x14ac:dyDescent="0.2">
      <c r="A248" t="s">
        <v>975</v>
      </c>
      <c r="B248" t="s">
        <v>898</v>
      </c>
      <c r="C248" t="s">
        <v>912</v>
      </c>
    </row>
    <row r="249" spans="1:3" x14ac:dyDescent="0.2">
      <c r="A249" t="s">
        <v>976</v>
      </c>
      <c r="B249" t="s">
        <v>898</v>
      </c>
      <c r="C249" t="s">
        <v>912</v>
      </c>
    </row>
    <row r="250" spans="1:3" x14ac:dyDescent="0.2">
      <c r="A250" t="s">
        <v>977</v>
      </c>
      <c r="B250" t="s">
        <v>898</v>
      </c>
      <c r="C250" t="s">
        <v>912</v>
      </c>
    </row>
    <row r="251" spans="1:3" x14ac:dyDescent="0.2">
      <c r="A251" t="s">
        <v>978</v>
      </c>
      <c r="B251" t="s">
        <v>898</v>
      </c>
      <c r="C251" t="s">
        <v>912</v>
      </c>
    </row>
    <row r="252" spans="1:3" x14ac:dyDescent="0.2">
      <c r="A252" t="s">
        <v>979</v>
      </c>
      <c r="B252" t="s">
        <v>898</v>
      </c>
      <c r="C252" t="s">
        <v>912</v>
      </c>
    </row>
    <row r="253" spans="1:3" x14ac:dyDescent="0.2">
      <c r="A253" t="s">
        <v>980</v>
      </c>
      <c r="B253" t="s">
        <v>898</v>
      </c>
      <c r="C253" t="s">
        <v>912</v>
      </c>
    </row>
    <row r="254" spans="1:3" x14ac:dyDescent="0.2">
      <c r="A254" t="s">
        <v>981</v>
      </c>
      <c r="B254" t="s">
        <v>898</v>
      </c>
      <c r="C254" t="s">
        <v>912</v>
      </c>
    </row>
    <row r="255" spans="1:3" x14ac:dyDescent="0.2">
      <c r="A255" t="s">
        <v>982</v>
      </c>
      <c r="B255" t="s">
        <v>898</v>
      </c>
      <c r="C255" t="s">
        <v>912</v>
      </c>
    </row>
    <row r="256" spans="1:3" x14ac:dyDescent="0.2">
      <c r="A256" t="s">
        <v>983</v>
      </c>
      <c r="B256" t="s">
        <v>898</v>
      </c>
      <c r="C256" t="s">
        <v>912</v>
      </c>
    </row>
    <row r="257" spans="1:3" x14ac:dyDescent="0.2">
      <c r="A257" t="s">
        <v>984</v>
      </c>
      <c r="B257" t="s">
        <v>898</v>
      </c>
      <c r="C257" t="s">
        <v>912</v>
      </c>
    </row>
    <row r="258" spans="1:3" x14ac:dyDescent="0.2">
      <c r="A258" t="s">
        <v>3017</v>
      </c>
      <c r="B258" t="s">
        <v>898</v>
      </c>
      <c r="C258" t="s">
        <v>912</v>
      </c>
    </row>
    <row r="259" spans="1:3" x14ac:dyDescent="0.2">
      <c r="A259" t="s">
        <v>5159</v>
      </c>
      <c r="B259" t="s">
        <v>898</v>
      </c>
      <c r="C259" t="s">
        <v>912</v>
      </c>
    </row>
    <row r="260" spans="1:3" x14ac:dyDescent="0.2">
      <c r="A260" t="s">
        <v>985</v>
      </c>
      <c r="B260" t="s">
        <v>898</v>
      </c>
      <c r="C260" t="s">
        <v>912</v>
      </c>
    </row>
    <row r="261" spans="1:3" x14ac:dyDescent="0.2">
      <c r="A261" t="s">
        <v>6736</v>
      </c>
      <c r="B261" t="s">
        <v>898</v>
      </c>
      <c r="C261" t="s">
        <v>912</v>
      </c>
    </row>
    <row r="262" spans="1:3" x14ac:dyDescent="0.2">
      <c r="A262" t="s">
        <v>4923</v>
      </c>
      <c r="B262" t="s">
        <v>898</v>
      </c>
      <c r="C262" t="s">
        <v>912</v>
      </c>
    </row>
    <row r="263" spans="1:3" x14ac:dyDescent="0.2">
      <c r="A263" t="s">
        <v>986</v>
      </c>
      <c r="B263" t="s">
        <v>898</v>
      </c>
      <c r="C263" t="s">
        <v>912</v>
      </c>
    </row>
    <row r="264" spans="1:3" x14ac:dyDescent="0.2">
      <c r="A264" t="s">
        <v>987</v>
      </c>
      <c r="B264" t="s">
        <v>898</v>
      </c>
      <c r="C264" t="s">
        <v>912</v>
      </c>
    </row>
    <row r="265" spans="1:3" x14ac:dyDescent="0.2">
      <c r="A265" t="s">
        <v>988</v>
      </c>
      <c r="B265" t="s">
        <v>898</v>
      </c>
      <c r="C265" t="s">
        <v>912</v>
      </c>
    </row>
    <row r="266" spans="1:3" x14ac:dyDescent="0.2">
      <c r="A266" t="s">
        <v>989</v>
      </c>
      <c r="B266" t="s">
        <v>898</v>
      </c>
      <c r="C266" t="s">
        <v>912</v>
      </c>
    </row>
    <row r="267" spans="1:3" x14ac:dyDescent="0.2">
      <c r="A267" t="s">
        <v>990</v>
      </c>
      <c r="B267" t="s">
        <v>898</v>
      </c>
      <c r="C267" t="s">
        <v>912</v>
      </c>
    </row>
    <row r="268" spans="1:3" x14ac:dyDescent="0.2">
      <c r="A268" t="s">
        <v>991</v>
      </c>
      <c r="B268" t="s">
        <v>898</v>
      </c>
      <c r="C268" t="s">
        <v>912</v>
      </c>
    </row>
    <row r="269" spans="1:3" x14ac:dyDescent="0.2">
      <c r="A269" t="s">
        <v>992</v>
      </c>
      <c r="B269" t="s">
        <v>898</v>
      </c>
      <c r="C269" t="s">
        <v>912</v>
      </c>
    </row>
    <row r="270" spans="1:3" x14ac:dyDescent="0.2">
      <c r="A270" t="s">
        <v>993</v>
      </c>
      <c r="B270" t="s">
        <v>898</v>
      </c>
      <c r="C270" t="s">
        <v>912</v>
      </c>
    </row>
    <row r="271" spans="1:3" x14ac:dyDescent="0.2">
      <c r="A271" t="s">
        <v>994</v>
      </c>
      <c r="B271" t="s">
        <v>898</v>
      </c>
      <c r="C271" t="s">
        <v>912</v>
      </c>
    </row>
    <row r="272" spans="1:3" x14ac:dyDescent="0.2">
      <c r="A272" t="s">
        <v>6737</v>
      </c>
      <c r="B272" t="s">
        <v>898</v>
      </c>
      <c r="C272" t="s">
        <v>912</v>
      </c>
    </row>
    <row r="273" spans="1:3" x14ac:dyDescent="0.2">
      <c r="A273" t="s">
        <v>995</v>
      </c>
      <c r="B273" t="s">
        <v>898</v>
      </c>
      <c r="C273" t="s">
        <v>912</v>
      </c>
    </row>
    <row r="274" spans="1:3" x14ac:dyDescent="0.2">
      <c r="A274" t="s">
        <v>5626</v>
      </c>
      <c r="B274" t="s">
        <v>898</v>
      </c>
      <c r="C274" t="s">
        <v>912</v>
      </c>
    </row>
    <row r="275" spans="1:3" x14ac:dyDescent="0.2">
      <c r="A275" t="s">
        <v>996</v>
      </c>
      <c r="B275" t="s">
        <v>898</v>
      </c>
      <c r="C275" t="s">
        <v>912</v>
      </c>
    </row>
    <row r="276" spans="1:3" x14ac:dyDescent="0.2">
      <c r="A276" t="s">
        <v>997</v>
      </c>
      <c r="B276" t="s">
        <v>898</v>
      </c>
      <c r="C276" t="s">
        <v>912</v>
      </c>
    </row>
    <row r="277" spans="1:3" x14ac:dyDescent="0.2">
      <c r="A277" t="s">
        <v>998</v>
      </c>
      <c r="B277" t="s">
        <v>898</v>
      </c>
      <c r="C277" t="s">
        <v>912</v>
      </c>
    </row>
    <row r="278" spans="1:3" x14ac:dyDescent="0.2">
      <c r="A278" t="s">
        <v>999</v>
      </c>
      <c r="B278" t="s">
        <v>898</v>
      </c>
      <c r="C278" t="s">
        <v>912</v>
      </c>
    </row>
    <row r="279" spans="1:3" x14ac:dyDescent="0.2">
      <c r="A279" t="s">
        <v>1000</v>
      </c>
      <c r="B279" t="s">
        <v>898</v>
      </c>
      <c r="C279" t="s">
        <v>912</v>
      </c>
    </row>
    <row r="280" spans="1:3" x14ac:dyDescent="0.2">
      <c r="A280" t="s">
        <v>1001</v>
      </c>
      <c r="B280" t="s">
        <v>898</v>
      </c>
      <c r="C280" t="s">
        <v>912</v>
      </c>
    </row>
    <row r="281" spans="1:3" x14ac:dyDescent="0.2">
      <c r="A281" t="s">
        <v>1002</v>
      </c>
      <c r="B281" t="s">
        <v>898</v>
      </c>
      <c r="C281" t="s">
        <v>912</v>
      </c>
    </row>
    <row r="282" spans="1:3" x14ac:dyDescent="0.2">
      <c r="A282" t="s">
        <v>1003</v>
      </c>
      <c r="B282" t="s">
        <v>898</v>
      </c>
      <c r="C282" t="s">
        <v>912</v>
      </c>
    </row>
    <row r="283" spans="1:3" x14ac:dyDescent="0.2">
      <c r="A283" t="s">
        <v>1004</v>
      </c>
      <c r="B283" t="s">
        <v>898</v>
      </c>
      <c r="C283" t="s">
        <v>912</v>
      </c>
    </row>
    <row r="284" spans="1:3" x14ac:dyDescent="0.2">
      <c r="A284" t="s">
        <v>1005</v>
      </c>
      <c r="B284" t="s">
        <v>898</v>
      </c>
      <c r="C284" t="s">
        <v>912</v>
      </c>
    </row>
    <row r="285" spans="1:3" x14ac:dyDescent="0.2">
      <c r="A285" t="s">
        <v>1006</v>
      </c>
      <c r="B285" t="s">
        <v>898</v>
      </c>
      <c r="C285" t="s">
        <v>912</v>
      </c>
    </row>
    <row r="286" spans="1:3" x14ac:dyDescent="0.2">
      <c r="A286" t="s">
        <v>1007</v>
      </c>
      <c r="B286" t="s">
        <v>898</v>
      </c>
      <c r="C286" t="s">
        <v>912</v>
      </c>
    </row>
    <row r="287" spans="1:3" x14ac:dyDescent="0.2">
      <c r="A287" t="s">
        <v>1008</v>
      </c>
      <c r="B287" t="s">
        <v>898</v>
      </c>
      <c r="C287" t="s">
        <v>912</v>
      </c>
    </row>
    <row r="288" spans="1:3" x14ac:dyDescent="0.2">
      <c r="A288" t="s">
        <v>1009</v>
      </c>
      <c r="B288" t="s">
        <v>898</v>
      </c>
      <c r="C288" t="s">
        <v>912</v>
      </c>
    </row>
    <row r="289" spans="1:3" x14ac:dyDescent="0.2">
      <c r="A289" t="s">
        <v>5755</v>
      </c>
      <c r="B289" t="s">
        <v>898</v>
      </c>
      <c r="C289" t="s">
        <v>912</v>
      </c>
    </row>
    <row r="290" spans="1:3" x14ac:dyDescent="0.2">
      <c r="A290" t="s">
        <v>5160</v>
      </c>
      <c r="B290" t="s">
        <v>898</v>
      </c>
      <c r="C290" t="s">
        <v>912</v>
      </c>
    </row>
    <row r="291" spans="1:3" x14ac:dyDescent="0.2">
      <c r="A291" t="s">
        <v>1010</v>
      </c>
      <c r="B291" t="s">
        <v>898</v>
      </c>
      <c r="C291" t="s">
        <v>912</v>
      </c>
    </row>
    <row r="292" spans="1:3" x14ac:dyDescent="0.2">
      <c r="A292" t="s">
        <v>1011</v>
      </c>
      <c r="B292" t="s">
        <v>898</v>
      </c>
      <c r="C292" t="s">
        <v>912</v>
      </c>
    </row>
    <row r="293" spans="1:3" x14ac:dyDescent="0.2">
      <c r="A293" t="s">
        <v>1012</v>
      </c>
      <c r="B293" t="s">
        <v>898</v>
      </c>
      <c r="C293" t="s">
        <v>912</v>
      </c>
    </row>
    <row r="294" spans="1:3" x14ac:dyDescent="0.2">
      <c r="A294" t="s">
        <v>1013</v>
      </c>
      <c r="B294" t="s">
        <v>898</v>
      </c>
      <c r="C294" t="s">
        <v>912</v>
      </c>
    </row>
    <row r="295" spans="1:3" x14ac:dyDescent="0.2">
      <c r="A295" t="s">
        <v>1014</v>
      </c>
      <c r="B295" t="s">
        <v>898</v>
      </c>
      <c r="C295" t="s">
        <v>912</v>
      </c>
    </row>
    <row r="296" spans="1:3" x14ac:dyDescent="0.2">
      <c r="A296" t="s">
        <v>1015</v>
      </c>
      <c r="B296" t="s">
        <v>898</v>
      </c>
      <c r="C296" t="s">
        <v>912</v>
      </c>
    </row>
    <row r="297" spans="1:3" x14ac:dyDescent="0.2">
      <c r="A297" t="s">
        <v>5627</v>
      </c>
      <c r="B297" t="s">
        <v>898</v>
      </c>
      <c r="C297" t="s">
        <v>912</v>
      </c>
    </row>
    <row r="298" spans="1:3" x14ac:dyDescent="0.2">
      <c r="A298" t="s">
        <v>6738</v>
      </c>
      <c r="B298" t="s">
        <v>898</v>
      </c>
      <c r="C298" t="s">
        <v>912</v>
      </c>
    </row>
    <row r="299" spans="1:3" x14ac:dyDescent="0.2">
      <c r="A299" t="s">
        <v>1016</v>
      </c>
      <c r="B299" t="s">
        <v>898</v>
      </c>
      <c r="C299" t="s">
        <v>912</v>
      </c>
    </row>
    <row r="300" spans="1:3" x14ac:dyDescent="0.2">
      <c r="A300" t="s">
        <v>1017</v>
      </c>
      <c r="B300" t="s">
        <v>898</v>
      </c>
      <c r="C300" t="s">
        <v>912</v>
      </c>
    </row>
    <row r="301" spans="1:3" x14ac:dyDescent="0.2">
      <c r="A301" t="s">
        <v>1018</v>
      </c>
      <c r="B301" t="s">
        <v>898</v>
      </c>
      <c r="C301" t="s">
        <v>912</v>
      </c>
    </row>
    <row r="302" spans="1:3" x14ac:dyDescent="0.2">
      <c r="A302" t="s">
        <v>5161</v>
      </c>
      <c r="B302" t="s">
        <v>898</v>
      </c>
      <c r="C302" t="s">
        <v>912</v>
      </c>
    </row>
    <row r="303" spans="1:3" x14ac:dyDescent="0.2">
      <c r="A303" t="s">
        <v>1019</v>
      </c>
      <c r="B303" t="s">
        <v>898</v>
      </c>
      <c r="C303" t="s">
        <v>912</v>
      </c>
    </row>
    <row r="304" spans="1:3" x14ac:dyDescent="0.2">
      <c r="A304" t="s">
        <v>1020</v>
      </c>
      <c r="B304" t="s">
        <v>898</v>
      </c>
      <c r="C304" t="s">
        <v>912</v>
      </c>
    </row>
    <row r="305" spans="1:3" x14ac:dyDescent="0.2">
      <c r="A305" t="s">
        <v>1021</v>
      </c>
      <c r="B305" t="s">
        <v>898</v>
      </c>
      <c r="C305" t="s">
        <v>912</v>
      </c>
    </row>
    <row r="306" spans="1:3" x14ac:dyDescent="0.2">
      <c r="A306" t="s">
        <v>1022</v>
      </c>
      <c r="B306" t="s">
        <v>898</v>
      </c>
      <c r="C306" t="s">
        <v>912</v>
      </c>
    </row>
    <row r="307" spans="1:3" x14ac:dyDescent="0.2">
      <c r="A307" t="s">
        <v>5100</v>
      </c>
      <c r="B307" t="s">
        <v>898</v>
      </c>
      <c r="C307" t="s">
        <v>912</v>
      </c>
    </row>
    <row r="308" spans="1:3" x14ac:dyDescent="0.2">
      <c r="A308" t="s">
        <v>1023</v>
      </c>
      <c r="B308" t="s">
        <v>898</v>
      </c>
      <c r="C308" t="s">
        <v>912</v>
      </c>
    </row>
    <row r="309" spans="1:3" x14ac:dyDescent="0.2">
      <c r="A309" t="s">
        <v>1024</v>
      </c>
      <c r="B309" t="s">
        <v>898</v>
      </c>
      <c r="C309" t="s">
        <v>912</v>
      </c>
    </row>
    <row r="310" spans="1:3" x14ac:dyDescent="0.2">
      <c r="A310" t="s">
        <v>1025</v>
      </c>
      <c r="B310" t="s">
        <v>898</v>
      </c>
      <c r="C310" t="s">
        <v>912</v>
      </c>
    </row>
    <row r="311" spans="1:3" x14ac:dyDescent="0.2">
      <c r="A311" t="s">
        <v>1026</v>
      </c>
      <c r="B311" t="s">
        <v>898</v>
      </c>
      <c r="C311" t="s">
        <v>912</v>
      </c>
    </row>
    <row r="312" spans="1:3" x14ac:dyDescent="0.2">
      <c r="A312" t="s">
        <v>1027</v>
      </c>
      <c r="B312" t="s">
        <v>898</v>
      </c>
      <c r="C312" t="s">
        <v>912</v>
      </c>
    </row>
    <row r="313" spans="1:3" x14ac:dyDescent="0.2">
      <c r="A313" t="s">
        <v>1028</v>
      </c>
      <c r="B313" t="s">
        <v>898</v>
      </c>
      <c r="C313" t="s">
        <v>912</v>
      </c>
    </row>
    <row r="314" spans="1:3" x14ac:dyDescent="0.2">
      <c r="A314" t="s">
        <v>4924</v>
      </c>
      <c r="B314" t="s">
        <v>898</v>
      </c>
      <c r="C314" t="s">
        <v>912</v>
      </c>
    </row>
    <row r="315" spans="1:3" x14ac:dyDescent="0.2">
      <c r="A315" t="s">
        <v>5162</v>
      </c>
      <c r="B315" t="s">
        <v>898</v>
      </c>
      <c r="C315" t="s">
        <v>912</v>
      </c>
    </row>
    <row r="316" spans="1:3" x14ac:dyDescent="0.2">
      <c r="A316" t="s">
        <v>1029</v>
      </c>
      <c r="B316" t="s">
        <v>898</v>
      </c>
      <c r="C316" t="s">
        <v>912</v>
      </c>
    </row>
    <row r="317" spans="1:3" x14ac:dyDescent="0.2">
      <c r="A317" t="s">
        <v>1030</v>
      </c>
      <c r="B317" t="s">
        <v>898</v>
      </c>
      <c r="C317" t="s">
        <v>912</v>
      </c>
    </row>
    <row r="318" spans="1:3" x14ac:dyDescent="0.2">
      <c r="A318" t="s">
        <v>1031</v>
      </c>
      <c r="B318" t="s">
        <v>898</v>
      </c>
      <c r="C318" t="s">
        <v>912</v>
      </c>
    </row>
    <row r="319" spans="1:3" x14ac:dyDescent="0.2">
      <c r="A319" t="s">
        <v>1032</v>
      </c>
      <c r="B319" t="s">
        <v>898</v>
      </c>
      <c r="C319" t="s">
        <v>912</v>
      </c>
    </row>
    <row r="320" spans="1:3" x14ac:dyDescent="0.2">
      <c r="A320" t="s">
        <v>1033</v>
      </c>
      <c r="B320" t="s">
        <v>898</v>
      </c>
      <c r="C320" t="s">
        <v>912</v>
      </c>
    </row>
    <row r="321" spans="1:3" x14ac:dyDescent="0.2">
      <c r="A321" t="s">
        <v>1034</v>
      </c>
      <c r="B321" t="s">
        <v>898</v>
      </c>
      <c r="C321" t="s">
        <v>912</v>
      </c>
    </row>
    <row r="322" spans="1:3" x14ac:dyDescent="0.2">
      <c r="A322" t="s">
        <v>3018</v>
      </c>
      <c r="B322" t="s">
        <v>898</v>
      </c>
      <c r="C322" t="s">
        <v>912</v>
      </c>
    </row>
    <row r="323" spans="1:3" x14ac:dyDescent="0.2">
      <c r="A323" t="s">
        <v>1035</v>
      </c>
      <c r="B323" t="s">
        <v>898</v>
      </c>
      <c r="C323" t="s">
        <v>912</v>
      </c>
    </row>
    <row r="324" spans="1:3" x14ac:dyDescent="0.2">
      <c r="A324" t="s">
        <v>1036</v>
      </c>
      <c r="B324" t="s">
        <v>898</v>
      </c>
      <c r="C324" t="s">
        <v>912</v>
      </c>
    </row>
    <row r="325" spans="1:3" x14ac:dyDescent="0.2">
      <c r="A325" t="s">
        <v>1037</v>
      </c>
      <c r="B325" t="s">
        <v>898</v>
      </c>
      <c r="C325" t="s">
        <v>912</v>
      </c>
    </row>
    <row r="326" spans="1:3" x14ac:dyDescent="0.2">
      <c r="A326" t="s">
        <v>5101</v>
      </c>
      <c r="B326" t="s">
        <v>898</v>
      </c>
      <c r="C326" t="s">
        <v>912</v>
      </c>
    </row>
    <row r="327" spans="1:3" x14ac:dyDescent="0.2">
      <c r="A327" t="s">
        <v>5628</v>
      </c>
      <c r="B327" t="s">
        <v>898</v>
      </c>
      <c r="C327" t="s">
        <v>912</v>
      </c>
    </row>
    <row r="328" spans="1:3" x14ac:dyDescent="0.2">
      <c r="A328" t="s">
        <v>1038</v>
      </c>
      <c r="B328" t="s">
        <v>898</v>
      </c>
      <c r="C328" t="s">
        <v>912</v>
      </c>
    </row>
    <row r="329" spans="1:3" x14ac:dyDescent="0.2">
      <c r="A329" t="s">
        <v>1039</v>
      </c>
      <c r="B329" t="s">
        <v>898</v>
      </c>
      <c r="C329" t="s">
        <v>912</v>
      </c>
    </row>
    <row r="330" spans="1:3" x14ac:dyDescent="0.2">
      <c r="A330" t="s">
        <v>4553</v>
      </c>
      <c r="B330" t="s">
        <v>898</v>
      </c>
      <c r="C330" t="s">
        <v>912</v>
      </c>
    </row>
    <row r="331" spans="1:3" x14ac:dyDescent="0.2">
      <c r="A331" t="s">
        <v>1040</v>
      </c>
      <c r="B331" t="s">
        <v>898</v>
      </c>
      <c r="C331" t="s">
        <v>912</v>
      </c>
    </row>
    <row r="332" spans="1:3" x14ac:dyDescent="0.2">
      <c r="A332" t="s">
        <v>1041</v>
      </c>
      <c r="B332" t="s">
        <v>898</v>
      </c>
      <c r="C332" t="s">
        <v>912</v>
      </c>
    </row>
    <row r="333" spans="1:3" x14ac:dyDescent="0.2">
      <c r="A333" t="s">
        <v>5163</v>
      </c>
      <c r="B333" t="s">
        <v>898</v>
      </c>
      <c r="C333" t="s">
        <v>912</v>
      </c>
    </row>
    <row r="334" spans="1:3" x14ac:dyDescent="0.2">
      <c r="A334" t="s">
        <v>1042</v>
      </c>
      <c r="B334" t="s">
        <v>898</v>
      </c>
      <c r="C334" t="s">
        <v>912</v>
      </c>
    </row>
    <row r="335" spans="1:3" x14ac:dyDescent="0.2">
      <c r="A335" t="s">
        <v>5629</v>
      </c>
      <c r="B335" t="s">
        <v>898</v>
      </c>
      <c r="C335" t="s">
        <v>912</v>
      </c>
    </row>
    <row r="336" spans="1:3" x14ac:dyDescent="0.2">
      <c r="A336" t="s">
        <v>1043</v>
      </c>
      <c r="B336" t="s">
        <v>898</v>
      </c>
      <c r="C336" t="s">
        <v>912</v>
      </c>
    </row>
    <row r="337" spans="1:3" x14ac:dyDescent="0.2">
      <c r="A337" t="s">
        <v>1044</v>
      </c>
      <c r="B337" t="s">
        <v>898</v>
      </c>
      <c r="C337" t="s">
        <v>912</v>
      </c>
    </row>
    <row r="338" spans="1:3" x14ac:dyDescent="0.2">
      <c r="A338" t="s">
        <v>1045</v>
      </c>
      <c r="B338" t="s">
        <v>898</v>
      </c>
      <c r="C338" t="s">
        <v>912</v>
      </c>
    </row>
    <row r="339" spans="1:3" x14ac:dyDescent="0.2">
      <c r="A339" t="s">
        <v>1046</v>
      </c>
      <c r="B339" t="s">
        <v>898</v>
      </c>
      <c r="C339" t="s">
        <v>912</v>
      </c>
    </row>
    <row r="340" spans="1:3" x14ac:dyDescent="0.2">
      <c r="A340" t="s">
        <v>1047</v>
      </c>
      <c r="B340" t="s">
        <v>898</v>
      </c>
      <c r="C340" t="s">
        <v>912</v>
      </c>
    </row>
    <row r="341" spans="1:3" x14ac:dyDescent="0.2">
      <c r="A341" t="s">
        <v>1048</v>
      </c>
      <c r="B341" t="s">
        <v>898</v>
      </c>
      <c r="C341" t="s">
        <v>912</v>
      </c>
    </row>
    <row r="342" spans="1:3" x14ac:dyDescent="0.2">
      <c r="A342" t="s">
        <v>1049</v>
      </c>
      <c r="B342" t="s">
        <v>898</v>
      </c>
      <c r="C342" t="s">
        <v>912</v>
      </c>
    </row>
    <row r="343" spans="1:3" x14ac:dyDescent="0.2">
      <c r="A343" t="s">
        <v>1050</v>
      </c>
      <c r="B343" t="s">
        <v>898</v>
      </c>
      <c r="C343" t="s">
        <v>912</v>
      </c>
    </row>
    <row r="344" spans="1:3" x14ac:dyDescent="0.2">
      <c r="A344" t="s">
        <v>6739</v>
      </c>
      <c r="B344" t="s">
        <v>898</v>
      </c>
      <c r="C344" t="s">
        <v>912</v>
      </c>
    </row>
    <row r="345" spans="1:3" x14ac:dyDescent="0.2">
      <c r="A345" t="s">
        <v>1051</v>
      </c>
      <c r="B345" t="s">
        <v>898</v>
      </c>
      <c r="C345" t="s">
        <v>912</v>
      </c>
    </row>
    <row r="346" spans="1:3" x14ac:dyDescent="0.2">
      <c r="A346" t="s">
        <v>1052</v>
      </c>
      <c r="B346" t="s">
        <v>898</v>
      </c>
      <c r="C346" t="s">
        <v>912</v>
      </c>
    </row>
    <row r="347" spans="1:3" x14ac:dyDescent="0.2">
      <c r="A347" t="s">
        <v>1053</v>
      </c>
      <c r="B347" t="s">
        <v>898</v>
      </c>
      <c r="C347" t="s">
        <v>912</v>
      </c>
    </row>
    <row r="348" spans="1:3" x14ac:dyDescent="0.2">
      <c r="A348" t="s">
        <v>1054</v>
      </c>
      <c r="B348" t="s">
        <v>898</v>
      </c>
      <c r="C348" t="s">
        <v>912</v>
      </c>
    </row>
    <row r="349" spans="1:3" x14ac:dyDescent="0.2">
      <c r="A349" t="s">
        <v>4687</v>
      </c>
      <c r="B349" t="s">
        <v>898</v>
      </c>
      <c r="C349" t="s">
        <v>912</v>
      </c>
    </row>
    <row r="350" spans="1:3" x14ac:dyDescent="0.2">
      <c r="A350" t="s">
        <v>1055</v>
      </c>
      <c r="B350" t="s">
        <v>898</v>
      </c>
      <c r="C350" t="s">
        <v>912</v>
      </c>
    </row>
    <row r="351" spans="1:3" x14ac:dyDescent="0.2">
      <c r="A351" t="s">
        <v>1056</v>
      </c>
      <c r="B351" t="s">
        <v>898</v>
      </c>
      <c r="C351" t="s">
        <v>912</v>
      </c>
    </row>
    <row r="352" spans="1:3" x14ac:dyDescent="0.2">
      <c r="A352" t="s">
        <v>1057</v>
      </c>
      <c r="B352" t="s">
        <v>898</v>
      </c>
      <c r="C352" t="s">
        <v>912</v>
      </c>
    </row>
    <row r="353" spans="1:3" x14ac:dyDescent="0.2">
      <c r="A353" t="s">
        <v>1058</v>
      </c>
      <c r="B353" t="s">
        <v>898</v>
      </c>
      <c r="C353" t="s">
        <v>912</v>
      </c>
    </row>
    <row r="354" spans="1:3" x14ac:dyDescent="0.2">
      <c r="A354" t="s">
        <v>5630</v>
      </c>
      <c r="B354" t="s">
        <v>898</v>
      </c>
      <c r="C354" t="s">
        <v>912</v>
      </c>
    </row>
    <row r="355" spans="1:3" x14ac:dyDescent="0.2">
      <c r="A355" t="s">
        <v>1059</v>
      </c>
      <c r="B355" t="s">
        <v>898</v>
      </c>
      <c r="C355" t="s">
        <v>912</v>
      </c>
    </row>
    <row r="356" spans="1:3" x14ac:dyDescent="0.2">
      <c r="A356" t="s">
        <v>1060</v>
      </c>
      <c r="B356" t="s">
        <v>898</v>
      </c>
      <c r="C356" t="s">
        <v>912</v>
      </c>
    </row>
    <row r="357" spans="1:3" x14ac:dyDescent="0.2">
      <c r="A357" t="s">
        <v>1061</v>
      </c>
      <c r="B357" t="s">
        <v>898</v>
      </c>
      <c r="C357" t="s">
        <v>912</v>
      </c>
    </row>
    <row r="358" spans="1:3" x14ac:dyDescent="0.2">
      <c r="A358" t="s">
        <v>6740</v>
      </c>
      <c r="B358" t="s">
        <v>898</v>
      </c>
      <c r="C358" t="s">
        <v>912</v>
      </c>
    </row>
    <row r="359" spans="1:3" x14ac:dyDescent="0.2">
      <c r="A359" t="s">
        <v>1062</v>
      </c>
      <c r="B359" t="s">
        <v>898</v>
      </c>
      <c r="C359" t="s">
        <v>912</v>
      </c>
    </row>
    <row r="360" spans="1:3" x14ac:dyDescent="0.2">
      <c r="A360" t="s">
        <v>5102</v>
      </c>
      <c r="B360" t="s">
        <v>898</v>
      </c>
      <c r="C360" t="s">
        <v>912</v>
      </c>
    </row>
    <row r="361" spans="1:3" x14ac:dyDescent="0.2">
      <c r="A361" t="s">
        <v>1063</v>
      </c>
      <c r="B361" t="s">
        <v>898</v>
      </c>
      <c r="C361" t="s">
        <v>912</v>
      </c>
    </row>
    <row r="362" spans="1:3" x14ac:dyDescent="0.2">
      <c r="A362" t="s">
        <v>1064</v>
      </c>
      <c r="B362" t="s">
        <v>898</v>
      </c>
      <c r="C362" t="s">
        <v>912</v>
      </c>
    </row>
    <row r="363" spans="1:3" x14ac:dyDescent="0.2">
      <c r="A363" t="s">
        <v>3019</v>
      </c>
      <c r="B363" t="s">
        <v>898</v>
      </c>
      <c r="C363" t="s">
        <v>912</v>
      </c>
    </row>
    <row r="364" spans="1:3" x14ac:dyDescent="0.2">
      <c r="A364" t="s">
        <v>4925</v>
      </c>
      <c r="B364" t="s">
        <v>898</v>
      </c>
      <c r="C364" t="s">
        <v>912</v>
      </c>
    </row>
    <row r="365" spans="1:3" x14ac:dyDescent="0.2">
      <c r="A365" t="s">
        <v>1065</v>
      </c>
      <c r="B365" t="s">
        <v>898</v>
      </c>
      <c r="C365" t="s">
        <v>912</v>
      </c>
    </row>
    <row r="366" spans="1:3" x14ac:dyDescent="0.2">
      <c r="A366" t="s">
        <v>5164</v>
      </c>
      <c r="B366" t="s">
        <v>898</v>
      </c>
      <c r="C366" t="s">
        <v>912</v>
      </c>
    </row>
    <row r="367" spans="1:3" x14ac:dyDescent="0.2">
      <c r="A367" t="s">
        <v>6741</v>
      </c>
      <c r="B367" t="s">
        <v>898</v>
      </c>
      <c r="C367" t="s">
        <v>912</v>
      </c>
    </row>
    <row r="368" spans="1:3" x14ac:dyDescent="0.2">
      <c r="A368" t="s">
        <v>1066</v>
      </c>
      <c r="B368" t="s">
        <v>898</v>
      </c>
      <c r="C368" t="s">
        <v>912</v>
      </c>
    </row>
    <row r="369" spans="1:3" x14ac:dyDescent="0.2">
      <c r="A369" t="s">
        <v>1067</v>
      </c>
      <c r="B369" t="s">
        <v>898</v>
      </c>
      <c r="C369" t="s">
        <v>912</v>
      </c>
    </row>
    <row r="370" spans="1:3" x14ac:dyDescent="0.2">
      <c r="A370" t="s">
        <v>1068</v>
      </c>
      <c r="B370" t="s">
        <v>898</v>
      </c>
      <c r="C370" t="s">
        <v>912</v>
      </c>
    </row>
    <row r="371" spans="1:3" x14ac:dyDescent="0.2">
      <c r="A371" t="s">
        <v>1069</v>
      </c>
      <c r="B371" t="s">
        <v>898</v>
      </c>
      <c r="C371" t="s">
        <v>912</v>
      </c>
    </row>
    <row r="372" spans="1:3" x14ac:dyDescent="0.2">
      <c r="A372" t="s">
        <v>3020</v>
      </c>
      <c r="B372" t="s">
        <v>898</v>
      </c>
      <c r="C372" t="s">
        <v>912</v>
      </c>
    </row>
    <row r="373" spans="1:3" x14ac:dyDescent="0.2">
      <c r="A373" t="s">
        <v>1070</v>
      </c>
      <c r="B373" t="s">
        <v>898</v>
      </c>
      <c r="C373" t="s">
        <v>912</v>
      </c>
    </row>
    <row r="374" spans="1:3" x14ac:dyDescent="0.2">
      <c r="A374" t="s">
        <v>1071</v>
      </c>
      <c r="B374" t="s">
        <v>898</v>
      </c>
      <c r="C374" t="s">
        <v>912</v>
      </c>
    </row>
    <row r="375" spans="1:3" x14ac:dyDescent="0.2">
      <c r="A375" t="s">
        <v>4554</v>
      </c>
      <c r="B375" t="s">
        <v>898</v>
      </c>
      <c r="C375" t="s">
        <v>912</v>
      </c>
    </row>
    <row r="376" spans="1:3" x14ac:dyDescent="0.2">
      <c r="A376" t="s">
        <v>3021</v>
      </c>
      <c r="B376" t="s">
        <v>898</v>
      </c>
      <c r="C376" t="s">
        <v>912</v>
      </c>
    </row>
    <row r="377" spans="1:3" x14ac:dyDescent="0.2">
      <c r="A377" t="s">
        <v>1072</v>
      </c>
      <c r="B377" t="s">
        <v>898</v>
      </c>
      <c r="C377" t="s">
        <v>912</v>
      </c>
    </row>
    <row r="378" spans="1:3" x14ac:dyDescent="0.2">
      <c r="A378" t="s">
        <v>1073</v>
      </c>
      <c r="B378" t="s">
        <v>898</v>
      </c>
      <c r="C378" t="s">
        <v>912</v>
      </c>
    </row>
    <row r="379" spans="1:3" x14ac:dyDescent="0.2">
      <c r="A379" t="s">
        <v>1074</v>
      </c>
      <c r="B379" t="s">
        <v>898</v>
      </c>
      <c r="C379" t="s">
        <v>912</v>
      </c>
    </row>
    <row r="380" spans="1:3" x14ac:dyDescent="0.2">
      <c r="A380" t="s">
        <v>3022</v>
      </c>
      <c r="B380" t="s">
        <v>898</v>
      </c>
      <c r="C380" t="s">
        <v>912</v>
      </c>
    </row>
    <row r="381" spans="1:3" x14ac:dyDescent="0.2">
      <c r="A381" t="s">
        <v>5631</v>
      </c>
      <c r="B381" t="s">
        <v>898</v>
      </c>
      <c r="C381" t="s">
        <v>912</v>
      </c>
    </row>
    <row r="382" spans="1:3" x14ac:dyDescent="0.2">
      <c r="A382" t="s">
        <v>1075</v>
      </c>
      <c r="B382" t="s">
        <v>898</v>
      </c>
      <c r="C382" t="s">
        <v>912</v>
      </c>
    </row>
    <row r="383" spans="1:3" x14ac:dyDescent="0.2">
      <c r="A383" t="s">
        <v>1076</v>
      </c>
      <c r="B383" t="s">
        <v>898</v>
      </c>
      <c r="C383" t="s">
        <v>912</v>
      </c>
    </row>
    <row r="384" spans="1:3" x14ac:dyDescent="0.2">
      <c r="A384" t="s">
        <v>5165</v>
      </c>
      <c r="B384" t="s">
        <v>898</v>
      </c>
      <c r="C384" t="s">
        <v>912</v>
      </c>
    </row>
    <row r="385" spans="1:3" x14ac:dyDescent="0.2">
      <c r="A385" t="s">
        <v>1077</v>
      </c>
      <c r="B385" t="s">
        <v>898</v>
      </c>
      <c r="C385" t="s">
        <v>912</v>
      </c>
    </row>
    <row r="386" spans="1:3" x14ac:dyDescent="0.2">
      <c r="A386" t="s">
        <v>1078</v>
      </c>
      <c r="B386" t="s">
        <v>898</v>
      </c>
      <c r="C386" t="s">
        <v>912</v>
      </c>
    </row>
    <row r="387" spans="1:3" x14ac:dyDescent="0.2">
      <c r="A387" t="s">
        <v>1079</v>
      </c>
      <c r="B387" t="s">
        <v>898</v>
      </c>
      <c r="C387" t="s">
        <v>912</v>
      </c>
    </row>
    <row r="388" spans="1:3" x14ac:dyDescent="0.2">
      <c r="A388" t="s">
        <v>1080</v>
      </c>
      <c r="B388" t="s">
        <v>898</v>
      </c>
      <c r="C388" t="s">
        <v>912</v>
      </c>
    </row>
    <row r="389" spans="1:3" x14ac:dyDescent="0.2">
      <c r="A389" t="s">
        <v>1081</v>
      </c>
      <c r="B389" t="s">
        <v>898</v>
      </c>
      <c r="C389" t="s">
        <v>912</v>
      </c>
    </row>
    <row r="390" spans="1:3" x14ac:dyDescent="0.2">
      <c r="A390" t="s">
        <v>3023</v>
      </c>
      <c r="B390" t="s">
        <v>898</v>
      </c>
      <c r="C390" t="s">
        <v>912</v>
      </c>
    </row>
    <row r="391" spans="1:3" x14ac:dyDescent="0.2">
      <c r="A391" t="s">
        <v>4926</v>
      </c>
      <c r="B391" t="s">
        <v>898</v>
      </c>
      <c r="C391" t="s">
        <v>912</v>
      </c>
    </row>
    <row r="392" spans="1:3" x14ac:dyDescent="0.2">
      <c r="A392" t="s">
        <v>1082</v>
      </c>
      <c r="B392" t="s">
        <v>898</v>
      </c>
      <c r="C392" t="s">
        <v>912</v>
      </c>
    </row>
    <row r="393" spans="1:3" x14ac:dyDescent="0.2">
      <c r="A393" t="s">
        <v>1083</v>
      </c>
      <c r="B393" t="s">
        <v>898</v>
      </c>
      <c r="C393" t="s">
        <v>912</v>
      </c>
    </row>
    <row r="394" spans="1:3" x14ac:dyDescent="0.2">
      <c r="A394" t="s">
        <v>1084</v>
      </c>
      <c r="B394" t="s">
        <v>898</v>
      </c>
      <c r="C394" t="s">
        <v>912</v>
      </c>
    </row>
    <row r="395" spans="1:3" x14ac:dyDescent="0.2">
      <c r="A395" t="s">
        <v>1085</v>
      </c>
      <c r="B395" t="s">
        <v>898</v>
      </c>
      <c r="C395" t="s">
        <v>912</v>
      </c>
    </row>
    <row r="396" spans="1:3" x14ac:dyDescent="0.2">
      <c r="A396" t="s">
        <v>1086</v>
      </c>
      <c r="B396" t="s">
        <v>898</v>
      </c>
      <c r="C396" t="s">
        <v>912</v>
      </c>
    </row>
    <row r="397" spans="1:3" x14ac:dyDescent="0.2">
      <c r="A397" t="s">
        <v>1087</v>
      </c>
      <c r="B397" t="s">
        <v>898</v>
      </c>
      <c r="C397" t="s">
        <v>912</v>
      </c>
    </row>
    <row r="398" spans="1:3" x14ac:dyDescent="0.2">
      <c r="A398" t="s">
        <v>1088</v>
      </c>
      <c r="B398" t="s">
        <v>898</v>
      </c>
      <c r="C398" t="s">
        <v>912</v>
      </c>
    </row>
    <row r="399" spans="1:3" x14ac:dyDescent="0.2">
      <c r="A399" t="s">
        <v>1089</v>
      </c>
      <c r="B399" t="s">
        <v>898</v>
      </c>
      <c r="C399" t="s">
        <v>912</v>
      </c>
    </row>
    <row r="400" spans="1:3" x14ac:dyDescent="0.2">
      <c r="A400" t="s">
        <v>6742</v>
      </c>
      <c r="B400" t="s">
        <v>898</v>
      </c>
      <c r="C400" t="s">
        <v>912</v>
      </c>
    </row>
    <row r="401" spans="1:3" x14ac:dyDescent="0.2">
      <c r="A401" t="s">
        <v>1090</v>
      </c>
      <c r="B401" t="s">
        <v>898</v>
      </c>
      <c r="C401" t="s">
        <v>912</v>
      </c>
    </row>
    <row r="402" spans="1:3" x14ac:dyDescent="0.2">
      <c r="A402" t="s">
        <v>1091</v>
      </c>
      <c r="B402" t="s">
        <v>898</v>
      </c>
      <c r="C402" t="s">
        <v>912</v>
      </c>
    </row>
    <row r="403" spans="1:3" x14ac:dyDescent="0.2">
      <c r="A403" t="s">
        <v>1092</v>
      </c>
      <c r="B403" t="s">
        <v>898</v>
      </c>
      <c r="C403" t="s">
        <v>912</v>
      </c>
    </row>
    <row r="404" spans="1:3" x14ac:dyDescent="0.2">
      <c r="A404" t="s">
        <v>1093</v>
      </c>
      <c r="B404" t="s">
        <v>898</v>
      </c>
      <c r="C404" t="s">
        <v>912</v>
      </c>
    </row>
    <row r="405" spans="1:3" x14ac:dyDescent="0.2">
      <c r="A405" t="s">
        <v>1094</v>
      </c>
      <c r="B405" t="s">
        <v>898</v>
      </c>
      <c r="C405" t="s">
        <v>912</v>
      </c>
    </row>
    <row r="406" spans="1:3" x14ac:dyDescent="0.2">
      <c r="A406" t="s">
        <v>1095</v>
      </c>
      <c r="B406" t="s">
        <v>898</v>
      </c>
      <c r="C406" t="s">
        <v>912</v>
      </c>
    </row>
    <row r="407" spans="1:3" x14ac:dyDescent="0.2">
      <c r="A407" t="s">
        <v>4555</v>
      </c>
      <c r="B407" t="s">
        <v>898</v>
      </c>
      <c r="C407" t="s">
        <v>912</v>
      </c>
    </row>
    <row r="408" spans="1:3" x14ac:dyDescent="0.2">
      <c r="A408" t="s">
        <v>1096</v>
      </c>
      <c r="B408" t="s">
        <v>898</v>
      </c>
      <c r="C408" t="s">
        <v>912</v>
      </c>
    </row>
    <row r="409" spans="1:3" x14ac:dyDescent="0.2">
      <c r="A409" t="s">
        <v>1097</v>
      </c>
      <c r="B409" t="s">
        <v>898</v>
      </c>
      <c r="C409" t="s">
        <v>912</v>
      </c>
    </row>
    <row r="410" spans="1:3" x14ac:dyDescent="0.2">
      <c r="A410" t="s">
        <v>1098</v>
      </c>
      <c r="B410" t="s">
        <v>898</v>
      </c>
      <c r="C410" t="s">
        <v>912</v>
      </c>
    </row>
    <row r="411" spans="1:3" x14ac:dyDescent="0.2">
      <c r="A411" t="s">
        <v>1099</v>
      </c>
      <c r="B411" t="s">
        <v>898</v>
      </c>
      <c r="C411" t="s">
        <v>912</v>
      </c>
    </row>
    <row r="412" spans="1:3" x14ac:dyDescent="0.2">
      <c r="A412" t="s">
        <v>1100</v>
      </c>
      <c r="B412" t="s">
        <v>898</v>
      </c>
      <c r="C412" t="s">
        <v>912</v>
      </c>
    </row>
    <row r="413" spans="1:3" x14ac:dyDescent="0.2">
      <c r="A413" t="s">
        <v>1101</v>
      </c>
      <c r="B413" t="s">
        <v>898</v>
      </c>
      <c r="C413" t="s">
        <v>912</v>
      </c>
    </row>
    <row r="414" spans="1:3" x14ac:dyDescent="0.2">
      <c r="A414" t="s">
        <v>1102</v>
      </c>
      <c r="B414" t="s">
        <v>898</v>
      </c>
      <c r="C414" t="s">
        <v>912</v>
      </c>
    </row>
    <row r="415" spans="1:3" x14ac:dyDescent="0.2">
      <c r="A415" t="s">
        <v>1103</v>
      </c>
      <c r="B415" t="s">
        <v>898</v>
      </c>
      <c r="C415" t="s">
        <v>912</v>
      </c>
    </row>
    <row r="416" spans="1:3" x14ac:dyDescent="0.2">
      <c r="A416" t="s">
        <v>1104</v>
      </c>
      <c r="B416" t="s">
        <v>898</v>
      </c>
      <c r="C416" t="s">
        <v>912</v>
      </c>
    </row>
    <row r="417" spans="1:3" x14ac:dyDescent="0.2">
      <c r="A417" t="s">
        <v>1105</v>
      </c>
      <c r="B417" t="s">
        <v>898</v>
      </c>
      <c r="C417" t="s">
        <v>912</v>
      </c>
    </row>
    <row r="418" spans="1:3" x14ac:dyDescent="0.2">
      <c r="A418" t="s">
        <v>5166</v>
      </c>
      <c r="B418" t="s">
        <v>898</v>
      </c>
      <c r="C418" t="s">
        <v>912</v>
      </c>
    </row>
    <row r="419" spans="1:3" x14ac:dyDescent="0.2">
      <c r="A419" t="s">
        <v>1106</v>
      </c>
      <c r="B419" t="s">
        <v>898</v>
      </c>
      <c r="C419" t="s">
        <v>912</v>
      </c>
    </row>
    <row r="420" spans="1:3" x14ac:dyDescent="0.2">
      <c r="A420" t="s">
        <v>1107</v>
      </c>
      <c r="B420" t="s">
        <v>898</v>
      </c>
      <c r="C420" t="s">
        <v>912</v>
      </c>
    </row>
    <row r="421" spans="1:3" x14ac:dyDescent="0.2">
      <c r="A421" t="s">
        <v>1108</v>
      </c>
      <c r="B421" t="s">
        <v>898</v>
      </c>
      <c r="C421" t="s">
        <v>912</v>
      </c>
    </row>
    <row r="422" spans="1:3" x14ac:dyDescent="0.2">
      <c r="A422" t="s">
        <v>1109</v>
      </c>
      <c r="B422" t="s">
        <v>898</v>
      </c>
      <c r="C422" t="s">
        <v>912</v>
      </c>
    </row>
    <row r="423" spans="1:3" x14ac:dyDescent="0.2">
      <c r="A423" t="s">
        <v>1110</v>
      </c>
      <c r="B423" t="s">
        <v>898</v>
      </c>
      <c r="C423" t="s">
        <v>912</v>
      </c>
    </row>
    <row r="424" spans="1:3" x14ac:dyDescent="0.2">
      <c r="A424" t="s">
        <v>1111</v>
      </c>
      <c r="B424" t="s">
        <v>898</v>
      </c>
      <c r="C424" t="s">
        <v>912</v>
      </c>
    </row>
    <row r="425" spans="1:3" x14ac:dyDescent="0.2">
      <c r="A425" t="s">
        <v>4688</v>
      </c>
      <c r="B425" t="s">
        <v>898</v>
      </c>
      <c r="C425" t="s">
        <v>912</v>
      </c>
    </row>
    <row r="426" spans="1:3" x14ac:dyDescent="0.2">
      <c r="A426" t="s">
        <v>1112</v>
      </c>
      <c r="B426" t="s">
        <v>898</v>
      </c>
      <c r="C426" t="s">
        <v>912</v>
      </c>
    </row>
    <row r="427" spans="1:3" x14ac:dyDescent="0.2">
      <c r="A427" t="s">
        <v>1113</v>
      </c>
      <c r="B427" t="s">
        <v>898</v>
      </c>
      <c r="C427" t="s">
        <v>912</v>
      </c>
    </row>
    <row r="428" spans="1:3" x14ac:dyDescent="0.2">
      <c r="A428" t="s">
        <v>1114</v>
      </c>
      <c r="B428" t="s">
        <v>898</v>
      </c>
      <c r="C428" t="s">
        <v>912</v>
      </c>
    </row>
    <row r="429" spans="1:3" x14ac:dyDescent="0.2">
      <c r="A429" t="s">
        <v>1115</v>
      </c>
      <c r="B429" t="s">
        <v>898</v>
      </c>
      <c r="C429" t="s">
        <v>912</v>
      </c>
    </row>
    <row r="430" spans="1:3" x14ac:dyDescent="0.2">
      <c r="A430" t="s">
        <v>6743</v>
      </c>
      <c r="B430" t="s">
        <v>898</v>
      </c>
      <c r="C430" t="s">
        <v>912</v>
      </c>
    </row>
    <row r="431" spans="1:3" x14ac:dyDescent="0.2">
      <c r="A431" t="s">
        <v>6744</v>
      </c>
      <c r="B431" t="s">
        <v>898</v>
      </c>
      <c r="C431" t="s">
        <v>912</v>
      </c>
    </row>
    <row r="432" spans="1:3" x14ac:dyDescent="0.2">
      <c r="A432" t="s">
        <v>1116</v>
      </c>
      <c r="B432" t="s">
        <v>898</v>
      </c>
      <c r="C432" t="s">
        <v>912</v>
      </c>
    </row>
    <row r="433" spans="1:3" x14ac:dyDescent="0.2">
      <c r="A433" t="s">
        <v>5167</v>
      </c>
      <c r="B433" t="s">
        <v>898</v>
      </c>
      <c r="C433" t="s">
        <v>912</v>
      </c>
    </row>
    <row r="434" spans="1:3" x14ac:dyDescent="0.2">
      <c r="A434" t="s">
        <v>1117</v>
      </c>
      <c r="B434" t="s">
        <v>898</v>
      </c>
      <c r="C434" t="s">
        <v>912</v>
      </c>
    </row>
    <row r="435" spans="1:3" x14ac:dyDescent="0.2">
      <c r="A435" t="s">
        <v>3024</v>
      </c>
      <c r="B435" t="s">
        <v>898</v>
      </c>
      <c r="C435" t="s">
        <v>912</v>
      </c>
    </row>
    <row r="436" spans="1:3" x14ac:dyDescent="0.2">
      <c r="A436" t="s">
        <v>1118</v>
      </c>
      <c r="B436" t="s">
        <v>898</v>
      </c>
      <c r="C436" t="s">
        <v>912</v>
      </c>
    </row>
    <row r="437" spans="1:3" x14ac:dyDescent="0.2">
      <c r="A437" t="s">
        <v>1119</v>
      </c>
      <c r="B437" t="s">
        <v>898</v>
      </c>
      <c r="C437" t="s">
        <v>912</v>
      </c>
    </row>
    <row r="438" spans="1:3" x14ac:dyDescent="0.2">
      <c r="A438" t="s">
        <v>1120</v>
      </c>
      <c r="B438" t="s">
        <v>898</v>
      </c>
      <c r="C438" t="s">
        <v>912</v>
      </c>
    </row>
    <row r="439" spans="1:3" x14ac:dyDescent="0.2">
      <c r="A439" t="s">
        <v>1121</v>
      </c>
      <c r="B439" t="s">
        <v>898</v>
      </c>
      <c r="C439" t="s">
        <v>912</v>
      </c>
    </row>
    <row r="440" spans="1:3" x14ac:dyDescent="0.2">
      <c r="A440" t="s">
        <v>6745</v>
      </c>
      <c r="B440" t="s">
        <v>898</v>
      </c>
      <c r="C440" t="s">
        <v>912</v>
      </c>
    </row>
    <row r="441" spans="1:3" x14ac:dyDescent="0.2">
      <c r="A441" t="s">
        <v>1122</v>
      </c>
      <c r="B441" t="s">
        <v>898</v>
      </c>
      <c r="C441" t="s">
        <v>912</v>
      </c>
    </row>
    <row r="442" spans="1:3" x14ac:dyDescent="0.2">
      <c r="A442" t="s">
        <v>1123</v>
      </c>
      <c r="B442" t="s">
        <v>898</v>
      </c>
      <c r="C442" t="s">
        <v>912</v>
      </c>
    </row>
    <row r="443" spans="1:3" x14ac:dyDescent="0.2">
      <c r="A443" t="s">
        <v>1124</v>
      </c>
      <c r="B443" t="s">
        <v>898</v>
      </c>
      <c r="C443" t="s">
        <v>912</v>
      </c>
    </row>
    <row r="444" spans="1:3" x14ac:dyDescent="0.2">
      <c r="A444" t="s">
        <v>1125</v>
      </c>
      <c r="B444" t="s">
        <v>898</v>
      </c>
      <c r="C444" t="s">
        <v>912</v>
      </c>
    </row>
    <row r="445" spans="1:3" x14ac:dyDescent="0.2">
      <c r="A445" t="s">
        <v>1126</v>
      </c>
      <c r="B445" t="s">
        <v>898</v>
      </c>
      <c r="C445" t="s">
        <v>912</v>
      </c>
    </row>
    <row r="446" spans="1:3" x14ac:dyDescent="0.2">
      <c r="A446" t="s">
        <v>1127</v>
      </c>
      <c r="B446" t="s">
        <v>898</v>
      </c>
      <c r="C446" t="s">
        <v>912</v>
      </c>
    </row>
    <row r="447" spans="1:3" x14ac:dyDescent="0.2">
      <c r="A447" t="s">
        <v>1128</v>
      </c>
      <c r="B447" t="s">
        <v>898</v>
      </c>
      <c r="C447" t="s">
        <v>912</v>
      </c>
    </row>
    <row r="448" spans="1:3" x14ac:dyDescent="0.2">
      <c r="A448" t="s">
        <v>1129</v>
      </c>
      <c r="B448" t="s">
        <v>898</v>
      </c>
      <c r="C448" t="s">
        <v>912</v>
      </c>
    </row>
    <row r="449" spans="1:3" x14ac:dyDescent="0.2">
      <c r="A449" t="s">
        <v>1130</v>
      </c>
      <c r="B449" t="s">
        <v>898</v>
      </c>
      <c r="C449" t="s">
        <v>912</v>
      </c>
    </row>
    <row r="450" spans="1:3" x14ac:dyDescent="0.2">
      <c r="A450" t="s">
        <v>1131</v>
      </c>
      <c r="B450" t="s">
        <v>898</v>
      </c>
      <c r="C450" t="s">
        <v>912</v>
      </c>
    </row>
    <row r="451" spans="1:3" x14ac:dyDescent="0.2">
      <c r="A451" t="s">
        <v>6746</v>
      </c>
      <c r="B451" t="s">
        <v>898</v>
      </c>
      <c r="C451" t="s">
        <v>912</v>
      </c>
    </row>
    <row r="452" spans="1:3" x14ac:dyDescent="0.2">
      <c r="A452" t="s">
        <v>1132</v>
      </c>
      <c r="B452" t="s">
        <v>898</v>
      </c>
      <c r="C452" t="s">
        <v>912</v>
      </c>
    </row>
    <row r="453" spans="1:3" x14ac:dyDescent="0.2">
      <c r="A453" t="s">
        <v>1133</v>
      </c>
      <c r="B453" t="s">
        <v>898</v>
      </c>
      <c r="C453" t="s">
        <v>912</v>
      </c>
    </row>
    <row r="454" spans="1:3" x14ac:dyDescent="0.2">
      <c r="A454" t="s">
        <v>1134</v>
      </c>
      <c r="B454" t="s">
        <v>898</v>
      </c>
      <c r="C454" t="s">
        <v>912</v>
      </c>
    </row>
    <row r="455" spans="1:3" x14ac:dyDescent="0.2">
      <c r="A455" t="s">
        <v>1135</v>
      </c>
      <c r="B455" t="s">
        <v>898</v>
      </c>
      <c r="C455" t="s">
        <v>912</v>
      </c>
    </row>
    <row r="456" spans="1:3" x14ac:dyDescent="0.2">
      <c r="A456" t="s">
        <v>1136</v>
      </c>
      <c r="B456" t="s">
        <v>898</v>
      </c>
      <c r="C456" t="s">
        <v>912</v>
      </c>
    </row>
    <row r="457" spans="1:3" x14ac:dyDescent="0.2">
      <c r="A457" t="s">
        <v>1137</v>
      </c>
      <c r="B457" t="s">
        <v>898</v>
      </c>
      <c r="C457" t="s">
        <v>912</v>
      </c>
    </row>
    <row r="458" spans="1:3" x14ac:dyDescent="0.2">
      <c r="A458" t="s">
        <v>1138</v>
      </c>
      <c r="B458" t="s">
        <v>898</v>
      </c>
      <c r="C458" t="s">
        <v>912</v>
      </c>
    </row>
    <row r="459" spans="1:3" x14ac:dyDescent="0.2">
      <c r="A459" t="s">
        <v>3025</v>
      </c>
      <c r="B459" t="s">
        <v>898</v>
      </c>
      <c r="C459" t="s">
        <v>912</v>
      </c>
    </row>
    <row r="460" spans="1:3" x14ac:dyDescent="0.2">
      <c r="A460" t="s">
        <v>1139</v>
      </c>
      <c r="B460" t="s">
        <v>898</v>
      </c>
      <c r="C460" t="s">
        <v>912</v>
      </c>
    </row>
    <row r="461" spans="1:3" x14ac:dyDescent="0.2">
      <c r="A461" t="s">
        <v>1140</v>
      </c>
      <c r="B461" t="s">
        <v>898</v>
      </c>
      <c r="C461" t="s">
        <v>912</v>
      </c>
    </row>
    <row r="462" spans="1:3" x14ac:dyDescent="0.2">
      <c r="A462" t="s">
        <v>5168</v>
      </c>
      <c r="B462" t="s">
        <v>898</v>
      </c>
      <c r="C462" t="s">
        <v>912</v>
      </c>
    </row>
    <row r="463" spans="1:3" x14ac:dyDescent="0.2">
      <c r="A463" t="s">
        <v>1141</v>
      </c>
      <c r="B463" t="s">
        <v>898</v>
      </c>
      <c r="C463" t="s">
        <v>912</v>
      </c>
    </row>
    <row r="464" spans="1:3" x14ac:dyDescent="0.2">
      <c r="A464" t="s">
        <v>1142</v>
      </c>
      <c r="B464" t="s">
        <v>898</v>
      </c>
      <c r="C464" t="s">
        <v>912</v>
      </c>
    </row>
    <row r="465" spans="1:3" x14ac:dyDescent="0.2">
      <c r="A465" t="s">
        <v>1143</v>
      </c>
      <c r="B465" t="s">
        <v>898</v>
      </c>
      <c r="C465" t="s">
        <v>912</v>
      </c>
    </row>
    <row r="466" spans="1:3" x14ac:dyDescent="0.2">
      <c r="A466" t="s">
        <v>1144</v>
      </c>
      <c r="B466" t="s">
        <v>898</v>
      </c>
      <c r="C466" t="s">
        <v>912</v>
      </c>
    </row>
    <row r="467" spans="1:3" x14ac:dyDescent="0.2">
      <c r="A467" t="s">
        <v>1145</v>
      </c>
      <c r="B467" t="s">
        <v>898</v>
      </c>
      <c r="C467" t="s">
        <v>912</v>
      </c>
    </row>
    <row r="468" spans="1:3" x14ac:dyDescent="0.2">
      <c r="A468" t="s">
        <v>1146</v>
      </c>
      <c r="B468" t="s">
        <v>898</v>
      </c>
      <c r="C468" t="s">
        <v>912</v>
      </c>
    </row>
    <row r="469" spans="1:3" x14ac:dyDescent="0.2">
      <c r="A469" t="s">
        <v>1147</v>
      </c>
      <c r="B469" t="s">
        <v>898</v>
      </c>
      <c r="C469" t="s">
        <v>912</v>
      </c>
    </row>
    <row r="470" spans="1:3" x14ac:dyDescent="0.2">
      <c r="A470" t="s">
        <v>1148</v>
      </c>
      <c r="B470" t="s">
        <v>898</v>
      </c>
      <c r="C470" t="s">
        <v>912</v>
      </c>
    </row>
    <row r="471" spans="1:3" x14ac:dyDescent="0.2">
      <c r="A471" t="s">
        <v>6747</v>
      </c>
      <c r="B471" t="s">
        <v>898</v>
      </c>
      <c r="C471" t="s">
        <v>912</v>
      </c>
    </row>
    <row r="472" spans="1:3" x14ac:dyDescent="0.2">
      <c r="A472" t="s">
        <v>1149</v>
      </c>
      <c r="B472" t="s">
        <v>898</v>
      </c>
      <c r="C472" t="s">
        <v>912</v>
      </c>
    </row>
    <row r="473" spans="1:3" x14ac:dyDescent="0.2">
      <c r="A473" t="s">
        <v>1150</v>
      </c>
      <c r="B473" t="s">
        <v>898</v>
      </c>
      <c r="C473" t="s">
        <v>912</v>
      </c>
    </row>
    <row r="474" spans="1:3" x14ac:dyDescent="0.2">
      <c r="A474" t="s">
        <v>6748</v>
      </c>
      <c r="B474" t="s">
        <v>898</v>
      </c>
      <c r="C474" t="s">
        <v>912</v>
      </c>
    </row>
    <row r="475" spans="1:3" x14ac:dyDescent="0.2">
      <c r="A475" t="s">
        <v>1151</v>
      </c>
      <c r="B475" t="s">
        <v>898</v>
      </c>
      <c r="C475" t="s">
        <v>912</v>
      </c>
    </row>
    <row r="476" spans="1:3" x14ac:dyDescent="0.2">
      <c r="A476" t="s">
        <v>1152</v>
      </c>
      <c r="B476" t="s">
        <v>898</v>
      </c>
      <c r="C476" t="s">
        <v>912</v>
      </c>
    </row>
    <row r="477" spans="1:3" x14ac:dyDescent="0.2">
      <c r="A477" t="s">
        <v>1153</v>
      </c>
      <c r="B477" t="s">
        <v>898</v>
      </c>
      <c r="C477" t="s">
        <v>912</v>
      </c>
    </row>
    <row r="478" spans="1:3" x14ac:dyDescent="0.2">
      <c r="A478" t="s">
        <v>1154</v>
      </c>
      <c r="B478" t="s">
        <v>898</v>
      </c>
      <c r="C478" t="s">
        <v>912</v>
      </c>
    </row>
    <row r="479" spans="1:3" x14ac:dyDescent="0.2">
      <c r="A479" t="s">
        <v>1155</v>
      </c>
      <c r="B479" t="s">
        <v>898</v>
      </c>
      <c r="C479" t="s">
        <v>912</v>
      </c>
    </row>
    <row r="480" spans="1:3" x14ac:dyDescent="0.2">
      <c r="A480" t="s">
        <v>1156</v>
      </c>
      <c r="B480" t="s">
        <v>898</v>
      </c>
      <c r="C480" t="s">
        <v>912</v>
      </c>
    </row>
    <row r="481" spans="1:3" x14ac:dyDescent="0.2">
      <c r="A481" t="s">
        <v>1157</v>
      </c>
      <c r="B481" t="s">
        <v>898</v>
      </c>
      <c r="C481" t="s">
        <v>912</v>
      </c>
    </row>
    <row r="482" spans="1:3" x14ac:dyDescent="0.2">
      <c r="A482" t="s">
        <v>5937</v>
      </c>
      <c r="B482" t="s">
        <v>898</v>
      </c>
      <c r="C482" t="s">
        <v>912</v>
      </c>
    </row>
    <row r="483" spans="1:3" x14ac:dyDescent="0.2">
      <c r="A483" t="s">
        <v>1158</v>
      </c>
      <c r="B483" t="s">
        <v>898</v>
      </c>
      <c r="C483" t="s">
        <v>912</v>
      </c>
    </row>
    <row r="484" spans="1:3" x14ac:dyDescent="0.2">
      <c r="A484" t="s">
        <v>1159</v>
      </c>
      <c r="B484" t="s">
        <v>898</v>
      </c>
      <c r="C484" t="s">
        <v>912</v>
      </c>
    </row>
    <row r="485" spans="1:3" x14ac:dyDescent="0.2">
      <c r="A485" t="s">
        <v>1160</v>
      </c>
      <c r="B485" t="s">
        <v>898</v>
      </c>
      <c r="C485" t="s">
        <v>912</v>
      </c>
    </row>
    <row r="486" spans="1:3" x14ac:dyDescent="0.2">
      <c r="A486" t="s">
        <v>1161</v>
      </c>
      <c r="B486" t="s">
        <v>898</v>
      </c>
      <c r="C486" t="s">
        <v>912</v>
      </c>
    </row>
    <row r="487" spans="1:3" x14ac:dyDescent="0.2">
      <c r="A487" t="s">
        <v>1162</v>
      </c>
      <c r="B487" t="s">
        <v>898</v>
      </c>
      <c r="C487" t="s">
        <v>912</v>
      </c>
    </row>
    <row r="488" spans="1:3" x14ac:dyDescent="0.2">
      <c r="A488" t="s">
        <v>1163</v>
      </c>
      <c r="B488" t="s">
        <v>898</v>
      </c>
      <c r="C488" t="s">
        <v>912</v>
      </c>
    </row>
    <row r="489" spans="1:3" x14ac:dyDescent="0.2">
      <c r="A489" t="s">
        <v>1164</v>
      </c>
      <c r="B489" t="s">
        <v>898</v>
      </c>
      <c r="C489" t="s">
        <v>912</v>
      </c>
    </row>
    <row r="490" spans="1:3" x14ac:dyDescent="0.2">
      <c r="A490" t="s">
        <v>1165</v>
      </c>
      <c r="B490" t="s">
        <v>898</v>
      </c>
      <c r="C490" t="s">
        <v>912</v>
      </c>
    </row>
    <row r="491" spans="1:3" x14ac:dyDescent="0.2">
      <c r="A491" t="s">
        <v>1166</v>
      </c>
      <c r="B491" t="s">
        <v>898</v>
      </c>
      <c r="C491" t="s">
        <v>912</v>
      </c>
    </row>
    <row r="492" spans="1:3" x14ac:dyDescent="0.2">
      <c r="A492" t="s">
        <v>4689</v>
      </c>
      <c r="B492" t="s">
        <v>898</v>
      </c>
      <c r="C492" t="s">
        <v>912</v>
      </c>
    </row>
    <row r="493" spans="1:3" x14ac:dyDescent="0.2">
      <c r="A493" t="s">
        <v>1167</v>
      </c>
      <c r="B493" t="s">
        <v>898</v>
      </c>
      <c r="C493" t="s">
        <v>912</v>
      </c>
    </row>
    <row r="494" spans="1:3" x14ac:dyDescent="0.2">
      <c r="A494" t="s">
        <v>1168</v>
      </c>
      <c r="B494" t="s">
        <v>898</v>
      </c>
      <c r="C494" t="s">
        <v>912</v>
      </c>
    </row>
    <row r="495" spans="1:3" x14ac:dyDescent="0.2">
      <c r="A495" t="s">
        <v>6749</v>
      </c>
      <c r="B495" t="s">
        <v>898</v>
      </c>
      <c r="C495" t="s">
        <v>912</v>
      </c>
    </row>
    <row r="496" spans="1:3" x14ac:dyDescent="0.2">
      <c r="A496" t="s">
        <v>5169</v>
      </c>
      <c r="B496" t="s">
        <v>898</v>
      </c>
      <c r="C496" t="s">
        <v>912</v>
      </c>
    </row>
    <row r="497" spans="1:3" x14ac:dyDescent="0.2">
      <c r="A497" t="s">
        <v>1169</v>
      </c>
      <c r="B497" t="s">
        <v>898</v>
      </c>
      <c r="C497" t="s">
        <v>912</v>
      </c>
    </row>
    <row r="498" spans="1:3" x14ac:dyDescent="0.2">
      <c r="A498" t="s">
        <v>1170</v>
      </c>
      <c r="B498" t="s">
        <v>898</v>
      </c>
      <c r="C498" t="s">
        <v>912</v>
      </c>
    </row>
    <row r="499" spans="1:3" x14ac:dyDescent="0.2">
      <c r="A499" t="s">
        <v>1171</v>
      </c>
      <c r="B499" t="s">
        <v>898</v>
      </c>
      <c r="C499" t="s">
        <v>912</v>
      </c>
    </row>
    <row r="500" spans="1:3" x14ac:dyDescent="0.2">
      <c r="A500" t="s">
        <v>3026</v>
      </c>
      <c r="B500" t="s">
        <v>898</v>
      </c>
      <c r="C500" t="s">
        <v>912</v>
      </c>
    </row>
    <row r="501" spans="1:3" x14ac:dyDescent="0.2">
      <c r="A501" t="s">
        <v>1172</v>
      </c>
      <c r="B501" t="s">
        <v>898</v>
      </c>
      <c r="C501" t="s">
        <v>912</v>
      </c>
    </row>
    <row r="502" spans="1:3" x14ac:dyDescent="0.2">
      <c r="A502" t="s">
        <v>1173</v>
      </c>
      <c r="B502" t="s">
        <v>898</v>
      </c>
      <c r="C502" t="s">
        <v>912</v>
      </c>
    </row>
    <row r="503" spans="1:3" x14ac:dyDescent="0.2">
      <c r="A503" t="s">
        <v>5938</v>
      </c>
      <c r="B503" t="s">
        <v>898</v>
      </c>
      <c r="C503" t="s">
        <v>912</v>
      </c>
    </row>
    <row r="504" spans="1:3" x14ac:dyDescent="0.2">
      <c r="A504" t="s">
        <v>6750</v>
      </c>
      <c r="B504" t="s">
        <v>898</v>
      </c>
      <c r="C504" t="s">
        <v>912</v>
      </c>
    </row>
    <row r="505" spans="1:3" x14ac:dyDescent="0.2">
      <c r="A505" t="s">
        <v>4690</v>
      </c>
      <c r="B505" t="s">
        <v>898</v>
      </c>
      <c r="C505" t="s">
        <v>912</v>
      </c>
    </row>
    <row r="506" spans="1:3" x14ac:dyDescent="0.2">
      <c r="A506" t="s">
        <v>1174</v>
      </c>
      <c r="B506" t="s">
        <v>898</v>
      </c>
      <c r="C506" t="s">
        <v>912</v>
      </c>
    </row>
    <row r="507" spans="1:3" x14ac:dyDescent="0.2">
      <c r="A507" t="s">
        <v>1175</v>
      </c>
      <c r="B507" t="s">
        <v>898</v>
      </c>
      <c r="C507" t="s">
        <v>912</v>
      </c>
    </row>
    <row r="508" spans="1:3" x14ac:dyDescent="0.2">
      <c r="A508" t="s">
        <v>5170</v>
      </c>
      <c r="B508" t="s">
        <v>898</v>
      </c>
      <c r="C508" t="s">
        <v>912</v>
      </c>
    </row>
    <row r="509" spans="1:3" x14ac:dyDescent="0.2">
      <c r="A509" t="s">
        <v>1176</v>
      </c>
      <c r="B509" t="s">
        <v>898</v>
      </c>
      <c r="C509" t="s">
        <v>912</v>
      </c>
    </row>
    <row r="510" spans="1:3" x14ac:dyDescent="0.2">
      <c r="A510" t="s">
        <v>4927</v>
      </c>
      <c r="B510" t="s">
        <v>898</v>
      </c>
      <c r="C510" t="s">
        <v>912</v>
      </c>
    </row>
    <row r="511" spans="1:3" x14ac:dyDescent="0.2">
      <c r="A511" t="s">
        <v>5171</v>
      </c>
      <c r="B511" t="s">
        <v>898</v>
      </c>
      <c r="C511" t="s">
        <v>912</v>
      </c>
    </row>
    <row r="512" spans="1:3" x14ac:dyDescent="0.2">
      <c r="A512" t="s">
        <v>1177</v>
      </c>
      <c r="B512" t="s">
        <v>898</v>
      </c>
      <c r="C512" t="s">
        <v>912</v>
      </c>
    </row>
    <row r="513" spans="1:3" x14ac:dyDescent="0.2">
      <c r="A513" t="s">
        <v>1178</v>
      </c>
      <c r="B513" t="s">
        <v>898</v>
      </c>
      <c r="C513" t="s">
        <v>912</v>
      </c>
    </row>
    <row r="514" spans="1:3" x14ac:dyDescent="0.2">
      <c r="A514" t="s">
        <v>1179</v>
      </c>
      <c r="B514" t="s">
        <v>898</v>
      </c>
      <c r="C514" t="s">
        <v>912</v>
      </c>
    </row>
    <row r="515" spans="1:3" x14ac:dyDescent="0.2">
      <c r="A515" t="s">
        <v>1180</v>
      </c>
      <c r="B515" t="s">
        <v>898</v>
      </c>
      <c r="C515" t="s">
        <v>912</v>
      </c>
    </row>
    <row r="516" spans="1:3" x14ac:dyDescent="0.2">
      <c r="A516" t="s">
        <v>1181</v>
      </c>
      <c r="B516" t="s">
        <v>898</v>
      </c>
      <c r="C516" t="s">
        <v>912</v>
      </c>
    </row>
    <row r="517" spans="1:3" x14ac:dyDescent="0.2">
      <c r="A517" t="s">
        <v>6751</v>
      </c>
      <c r="B517" t="s">
        <v>898</v>
      </c>
      <c r="C517" t="s">
        <v>912</v>
      </c>
    </row>
    <row r="518" spans="1:3" x14ac:dyDescent="0.2">
      <c r="A518" t="s">
        <v>1182</v>
      </c>
      <c r="B518" t="s">
        <v>898</v>
      </c>
      <c r="C518" t="s">
        <v>912</v>
      </c>
    </row>
    <row r="519" spans="1:3" x14ac:dyDescent="0.2">
      <c r="A519" t="s">
        <v>1183</v>
      </c>
      <c r="B519" t="s">
        <v>898</v>
      </c>
      <c r="C519" t="s">
        <v>912</v>
      </c>
    </row>
    <row r="520" spans="1:3" x14ac:dyDescent="0.2">
      <c r="A520" t="s">
        <v>5172</v>
      </c>
      <c r="B520" t="s">
        <v>898</v>
      </c>
      <c r="C520" t="s">
        <v>912</v>
      </c>
    </row>
    <row r="521" spans="1:3" x14ac:dyDescent="0.2">
      <c r="A521" t="s">
        <v>1184</v>
      </c>
      <c r="B521" t="s">
        <v>898</v>
      </c>
      <c r="C521" t="s">
        <v>912</v>
      </c>
    </row>
    <row r="522" spans="1:3" x14ac:dyDescent="0.2">
      <c r="A522" t="s">
        <v>1185</v>
      </c>
      <c r="B522" t="s">
        <v>898</v>
      </c>
      <c r="C522" t="s">
        <v>912</v>
      </c>
    </row>
    <row r="523" spans="1:3" x14ac:dyDescent="0.2">
      <c r="A523" t="s">
        <v>1186</v>
      </c>
      <c r="B523" t="s">
        <v>898</v>
      </c>
      <c r="C523" t="s">
        <v>912</v>
      </c>
    </row>
    <row r="524" spans="1:3" x14ac:dyDescent="0.2">
      <c r="A524" t="s">
        <v>1187</v>
      </c>
      <c r="B524" t="s">
        <v>898</v>
      </c>
      <c r="C524" t="s">
        <v>912</v>
      </c>
    </row>
    <row r="525" spans="1:3" x14ac:dyDescent="0.2">
      <c r="A525" t="s">
        <v>5103</v>
      </c>
      <c r="B525" t="s">
        <v>898</v>
      </c>
      <c r="C525" t="s">
        <v>912</v>
      </c>
    </row>
    <row r="526" spans="1:3" x14ac:dyDescent="0.2">
      <c r="A526" t="s">
        <v>1188</v>
      </c>
      <c r="B526" t="s">
        <v>898</v>
      </c>
      <c r="C526" t="s">
        <v>912</v>
      </c>
    </row>
    <row r="527" spans="1:3" x14ac:dyDescent="0.2">
      <c r="A527" t="s">
        <v>6752</v>
      </c>
      <c r="B527" t="s">
        <v>898</v>
      </c>
      <c r="C527" t="s">
        <v>912</v>
      </c>
    </row>
    <row r="528" spans="1:3" x14ac:dyDescent="0.2">
      <c r="A528" t="s">
        <v>1189</v>
      </c>
      <c r="B528" t="s">
        <v>898</v>
      </c>
      <c r="C528" t="s">
        <v>912</v>
      </c>
    </row>
    <row r="529" spans="1:3" x14ac:dyDescent="0.2">
      <c r="A529" t="s">
        <v>3027</v>
      </c>
      <c r="B529" t="s">
        <v>898</v>
      </c>
      <c r="C529" t="s">
        <v>912</v>
      </c>
    </row>
    <row r="530" spans="1:3" x14ac:dyDescent="0.2">
      <c r="A530" t="s">
        <v>5104</v>
      </c>
      <c r="B530" t="s">
        <v>898</v>
      </c>
      <c r="C530" t="s">
        <v>912</v>
      </c>
    </row>
    <row r="531" spans="1:3" x14ac:dyDescent="0.2">
      <c r="A531" t="s">
        <v>1190</v>
      </c>
      <c r="B531" t="s">
        <v>898</v>
      </c>
      <c r="C531" t="s">
        <v>912</v>
      </c>
    </row>
    <row r="532" spans="1:3" x14ac:dyDescent="0.2">
      <c r="A532" t="s">
        <v>1191</v>
      </c>
      <c r="B532" t="s">
        <v>898</v>
      </c>
      <c r="C532" t="s">
        <v>912</v>
      </c>
    </row>
    <row r="533" spans="1:3" x14ac:dyDescent="0.2">
      <c r="A533" t="s">
        <v>1192</v>
      </c>
      <c r="B533" t="s">
        <v>898</v>
      </c>
      <c r="C533" t="s">
        <v>912</v>
      </c>
    </row>
    <row r="534" spans="1:3" x14ac:dyDescent="0.2">
      <c r="A534" t="s">
        <v>1193</v>
      </c>
      <c r="B534" t="s">
        <v>898</v>
      </c>
      <c r="C534" t="s">
        <v>912</v>
      </c>
    </row>
    <row r="535" spans="1:3" x14ac:dyDescent="0.2">
      <c r="A535" t="s">
        <v>5964</v>
      </c>
      <c r="B535" t="s">
        <v>898</v>
      </c>
      <c r="C535" t="s">
        <v>5965</v>
      </c>
    </row>
    <row r="536" spans="1:3" x14ac:dyDescent="0.2">
      <c r="A536" t="s">
        <v>1194</v>
      </c>
      <c r="B536" t="s">
        <v>898</v>
      </c>
      <c r="C536" t="s">
        <v>1195</v>
      </c>
    </row>
    <row r="537" spans="1:3" x14ac:dyDescent="0.2">
      <c r="A537" t="s">
        <v>1196</v>
      </c>
      <c r="B537" t="s">
        <v>898</v>
      </c>
      <c r="C537" t="s">
        <v>1195</v>
      </c>
    </row>
    <row r="538" spans="1:3" x14ac:dyDescent="0.2">
      <c r="A538" t="s">
        <v>1197</v>
      </c>
      <c r="B538" t="s">
        <v>898</v>
      </c>
      <c r="C538" t="s">
        <v>1195</v>
      </c>
    </row>
    <row r="539" spans="1:3" x14ac:dyDescent="0.2">
      <c r="A539" t="s">
        <v>1198</v>
      </c>
      <c r="B539" t="s">
        <v>898</v>
      </c>
      <c r="C539" t="s">
        <v>1195</v>
      </c>
    </row>
    <row r="540" spans="1:3" x14ac:dyDescent="0.2">
      <c r="A540" t="s">
        <v>1199</v>
      </c>
      <c r="B540" t="s">
        <v>898</v>
      </c>
      <c r="C540" t="s">
        <v>1195</v>
      </c>
    </row>
    <row r="541" spans="1:3" x14ac:dyDescent="0.2">
      <c r="A541" t="s">
        <v>3028</v>
      </c>
      <c r="B541" t="s">
        <v>898</v>
      </c>
      <c r="C541" t="s">
        <v>1195</v>
      </c>
    </row>
    <row r="542" spans="1:3" x14ac:dyDescent="0.2">
      <c r="A542" t="s">
        <v>1200</v>
      </c>
      <c r="B542" t="s">
        <v>898</v>
      </c>
      <c r="C542" t="s">
        <v>1195</v>
      </c>
    </row>
    <row r="543" spans="1:3" x14ac:dyDescent="0.2">
      <c r="A543" t="s">
        <v>1201</v>
      </c>
      <c r="B543" t="s">
        <v>898</v>
      </c>
      <c r="C543" t="s">
        <v>1195</v>
      </c>
    </row>
    <row r="544" spans="1:3" x14ac:dyDescent="0.2">
      <c r="A544" t="s">
        <v>1202</v>
      </c>
      <c r="B544" t="s">
        <v>898</v>
      </c>
      <c r="C544" t="s">
        <v>1195</v>
      </c>
    </row>
    <row r="545" spans="1:3" x14ac:dyDescent="0.2">
      <c r="A545" t="s">
        <v>1203</v>
      </c>
      <c r="B545" t="s">
        <v>898</v>
      </c>
      <c r="C545" t="s">
        <v>1195</v>
      </c>
    </row>
    <row r="546" spans="1:3" x14ac:dyDescent="0.2">
      <c r="A546" t="s">
        <v>1204</v>
      </c>
      <c r="B546" t="s">
        <v>898</v>
      </c>
      <c r="C546" t="s">
        <v>1195</v>
      </c>
    </row>
    <row r="547" spans="1:3" x14ac:dyDescent="0.2">
      <c r="A547" t="s">
        <v>1205</v>
      </c>
      <c r="B547" t="s">
        <v>898</v>
      </c>
      <c r="C547" t="s">
        <v>1195</v>
      </c>
    </row>
    <row r="548" spans="1:3" x14ac:dyDescent="0.2">
      <c r="A548" t="s">
        <v>1206</v>
      </c>
      <c r="B548" t="s">
        <v>898</v>
      </c>
      <c r="C548" t="s">
        <v>1195</v>
      </c>
    </row>
    <row r="549" spans="1:3" x14ac:dyDescent="0.2">
      <c r="A549" t="s">
        <v>1207</v>
      </c>
      <c r="B549" t="s">
        <v>898</v>
      </c>
      <c r="C549" t="s">
        <v>1195</v>
      </c>
    </row>
    <row r="550" spans="1:3" x14ac:dyDescent="0.2">
      <c r="A550" t="s">
        <v>1208</v>
      </c>
      <c r="B550" t="s">
        <v>898</v>
      </c>
      <c r="C550" t="s">
        <v>1195</v>
      </c>
    </row>
    <row r="551" spans="1:3" x14ac:dyDescent="0.2">
      <c r="A551" t="s">
        <v>1209</v>
      </c>
      <c r="B551" t="s">
        <v>898</v>
      </c>
      <c r="C551" t="s">
        <v>1195</v>
      </c>
    </row>
    <row r="552" spans="1:3" x14ac:dyDescent="0.2">
      <c r="A552" t="s">
        <v>1210</v>
      </c>
      <c r="B552" t="s">
        <v>898</v>
      </c>
      <c r="C552" t="s">
        <v>1195</v>
      </c>
    </row>
    <row r="553" spans="1:3" x14ac:dyDescent="0.2">
      <c r="A553" t="s">
        <v>1211</v>
      </c>
      <c r="B553" t="s">
        <v>898</v>
      </c>
      <c r="C553" t="s">
        <v>1195</v>
      </c>
    </row>
    <row r="554" spans="1:3" x14ac:dyDescent="0.2">
      <c r="A554" t="s">
        <v>1212</v>
      </c>
      <c r="B554" t="s">
        <v>898</v>
      </c>
      <c r="C554" t="s">
        <v>1195</v>
      </c>
    </row>
    <row r="555" spans="1:3" x14ac:dyDescent="0.2">
      <c r="A555" t="s">
        <v>1213</v>
      </c>
      <c r="B555" t="s">
        <v>898</v>
      </c>
      <c r="C555" t="s">
        <v>1195</v>
      </c>
    </row>
    <row r="556" spans="1:3" x14ac:dyDescent="0.2">
      <c r="A556" t="s">
        <v>1214</v>
      </c>
      <c r="B556" t="s">
        <v>898</v>
      </c>
      <c r="C556" t="s">
        <v>1195</v>
      </c>
    </row>
    <row r="557" spans="1:3" x14ac:dyDescent="0.2">
      <c r="A557" t="s">
        <v>887</v>
      </c>
      <c r="B557" t="s">
        <v>829</v>
      </c>
      <c r="C557" t="s">
        <v>888</v>
      </c>
    </row>
    <row r="558" spans="1:3" x14ac:dyDescent="0.2">
      <c r="A558" t="s">
        <v>889</v>
      </c>
      <c r="B558" t="s">
        <v>829</v>
      </c>
      <c r="C558" t="s">
        <v>888</v>
      </c>
    </row>
    <row r="559" spans="1:3" x14ac:dyDescent="0.2">
      <c r="A559" t="s">
        <v>5457</v>
      </c>
      <c r="B559" t="s">
        <v>829</v>
      </c>
      <c r="C559" t="s">
        <v>888</v>
      </c>
    </row>
    <row r="560" spans="1:3" x14ac:dyDescent="0.2">
      <c r="A560" t="s">
        <v>5633</v>
      </c>
      <c r="B560" t="s">
        <v>829</v>
      </c>
      <c r="C560" t="s">
        <v>888</v>
      </c>
    </row>
    <row r="561" spans="1:3" x14ac:dyDescent="0.2">
      <c r="A561" t="s">
        <v>3029</v>
      </c>
      <c r="B561" t="s">
        <v>829</v>
      </c>
      <c r="C561" t="s">
        <v>888</v>
      </c>
    </row>
    <row r="562" spans="1:3" x14ac:dyDescent="0.2">
      <c r="A562" t="s">
        <v>890</v>
      </c>
      <c r="B562" t="s">
        <v>829</v>
      </c>
      <c r="C562" t="s">
        <v>888</v>
      </c>
    </row>
    <row r="563" spans="1:3" x14ac:dyDescent="0.2">
      <c r="A563" t="s">
        <v>891</v>
      </c>
      <c r="B563" t="s">
        <v>829</v>
      </c>
      <c r="C563" t="s">
        <v>888</v>
      </c>
    </row>
    <row r="564" spans="1:3" x14ac:dyDescent="0.2">
      <c r="A564" t="s">
        <v>892</v>
      </c>
      <c r="B564" t="s">
        <v>829</v>
      </c>
      <c r="C564" t="s">
        <v>888</v>
      </c>
    </row>
    <row r="565" spans="1:3" x14ac:dyDescent="0.2">
      <c r="A565" t="s">
        <v>893</v>
      </c>
      <c r="B565" t="s">
        <v>829</v>
      </c>
      <c r="C565" t="s">
        <v>888</v>
      </c>
    </row>
    <row r="566" spans="1:3" x14ac:dyDescent="0.2">
      <c r="A566" t="s">
        <v>894</v>
      </c>
      <c r="B566" t="s">
        <v>829</v>
      </c>
      <c r="C566" t="s">
        <v>888</v>
      </c>
    </row>
    <row r="567" spans="1:3" x14ac:dyDescent="0.2">
      <c r="A567" t="s">
        <v>5458</v>
      </c>
      <c r="B567" t="s">
        <v>898</v>
      </c>
      <c r="C567" t="s">
        <v>899</v>
      </c>
    </row>
    <row r="568" spans="1:3" x14ac:dyDescent="0.2">
      <c r="A568" t="s">
        <v>897</v>
      </c>
      <c r="B568" t="s">
        <v>898</v>
      </c>
      <c r="C568" t="s">
        <v>899</v>
      </c>
    </row>
    <row r="569" spans="1:3" x14ac:dyDescent="0.2">
      <c r="A569" t="s">
        <v>3030</v>
      </c>
      <c r="B569" t="s">
        <v>901</v>
      </c>
      <c r="C569" t="s">
        <v>899</v>
      </c>
    </row>
    <row r="570" spans="1:3" x14ac:dyDescent="0.2">
      <c r="A570" t="s">
        <v>3031</v>
      </c>
      <c r="B570" t="s">
        <v>901</v>
      </c>
      <c r="C570" t="s">
        <v>899</v>
      </c>
    </row>
    <row r="571" spans="1:3" x14ac:dyDescent="0.2">
      <c r="A571" t="s">
        <v>900</v>
      </c>
      <c r="B571" t="s">
        <v>901</v>
      </c>
      <c r="C571" t="s">
        <v>899</v>
      </c>
    </row>
    <row r="572" spans="1:3" x14ac:dyDescent="0.2">
      <c r="A572" t="s">
        <v>3032</v>
      </c>
      <c r="B572" t="s">
        <v>901</v>
      </c>
      <c r="C572" t="s">
        <v>899</v>
      </c>
    </row>
    <row r="573" spans="1:3" x14ac:dyDescent="0.2">
      <c r="A573" t="s">
        <v>3033</v>
      </c>
      <c r="B573" t="s">
        <v>901</v>
      </c>
      <c r="C573" t="s">
        <v>899</v>
      </c>
    </row>
    <row r="574" spans="1:3" x14ac:dyDescent="0.2">
      <c r="A574" t="s">
        <v>902</v>
      </c>
      <c r="B574" t="s">
        <v>901</v>
      </c>
      <c r="C574" t="s">
        <v>899</v>
      </c>
    </row>
    <row r="575" spans="1:3" x14ac:dyDescent="0.2">
      <c r="A575" t="s">
        <v>4556</v>
      </c>
      <c r="B575" t="s">
        <v>901</v>
      </c>
      <c r="C575" t="s">
        <v>899</v>
      </c>
    </row>
    <row r="576" spans="1:3" x14ac:dyDescent="0.2">
      <c r="A576" t="s">
        <v>3034</v>
      </c>
      <c r="B576" t="s">
        <v>901</v>
      </c>
      <c r="C576" t="s">
        <v>899</v>
      </c>
    </row>
    <row r="577" spans="1:3" x14ac:dyDescent="0.2">
      <c r="A577" t="s">
        <v>3035</v>
      </c>
      <c r="B577" t="s">
        <v>901</v>
      </c>
      <c r="C577" t="s">
        <v>899</v>
      </c>
    </row>
    <row r="578" spans="1:3" x14ac:dyDescent="0.2">
      <c r="A578" t="s">
        <v>5459</v>
      </c>
      <c r="B578" t="s">
        <v>901</v>
      </c>
      <c r="C578" t="s">
        <v>899</v>
      </c>
    </row>
    <row r="579" spans="1:3" x14ac:dyDescent="0.2">
      <c r="A579" t="s">
        <v>903</v>
      </c>
      <c r="B579" t="s">
        <v>901</v>
      </c>
      <c r="C579" t="s">
        <v>899</v>
      </c>
    </row>
    <row r="580" spans="1:3" x14ac:dyDescent="0.2">
      <c r="A580" t="s">
        <v>3036</v>
      </c>
      <c r="B580" t="s">
        <v>901</v>
      </c>
      <c r="C580" t="s">
        <v>899</v>
      </c>
    </row>
    <row r="581" spans="1:3" x14ac:dyDescent="0.2">
      <c r="A581" t="s">
        <v>3037</v>
      </c>
      <c r="B581" t="s">
        <v>901</v>
      </c>
      <c r="C581" t="s">
        <v>899</v>
      </c>
    </row>
    <row r="582" spans="1:3" x14ac:dyDescent="0.2">
      <c r="A582" t="s">
        <v>904</v>
      </c>
      <c r="B582" t="s">
        <v>901</v>
      </c>
      <c r="C582" t="s">
        <v>899</v>
      </c>
    </row>
    <row r="583" spans="1:3" x14ac:dyDescent="0.2">
      <c r="A583" t="s">
        <v>5460</v>
      </c>
      <c r="B583" t="s">
        <v>901</v>
      </c>
      <c r="C583" t="s">
        <v>899</v>
      </c>
    </row>
    <row r="584" spans="1:3" x14ac:dyDescent="0.2">
      <c r="A584" t="s">
        <v>3038</v>
      </c>
      <c r="B584" t="s">
        <v>901</v>
      </c>
      <c r="C584" t="s">
        <v>899</v>
      </c>
    </row>
    <row r="585" spans="1:3" x14ac:dyDescent="0.2">
      <c r="A585" t="s">
        <v>3039</v>
      </c>
      <c r="B585" t="s">
        <v>901</v>
      </c>
      <c r="C585" t="s">
        <v>899</v>
      </c>
    </row>
    <row r="586" spans="1:3" x14ac:dyDescent="0.2">
      <c r="A586" t="s">
        <v>905</v>
      </c>
      <c r="B586" t="s">
        <v>901</v>
      </c>
      <c r="C586" t="s">
        <v>899</v>
      </c>
    </row>
    <row r="587" spans="1:3" x14ac:dyDescent="0.2">
      <c r="A587" t="s">
        <v>4557</v>
      </c>
      <c r="B587" t="s">
        <v>901</v>
      </c>
      <c r="C587" t="s">
        <v>899</v>
      </c>
    </row>
    <row r="588" spans="1:3" x14ac:dyDescent="0.2">
      <c r="A588" t="s">
        <v>3040</v>
      </c>
      <c r="B588" t="s">
        <v>901</v>
      </c>
      <c r="C588" t="s">
        <v>899</v>
      </c>
    </row>
    <row r="589" spans="1:3" x14ac:dyDescent="0.2">
      <c r="A589" t="s">
        <v>3041</v>
      </c>
      <c r="B589" t="s">
        <v>901</v>
      </c>
      <c r="C589" t="s">
        <v>899</v>
      </c>
    </row>
    <row r="590" spans="1:3" x14ac:dyDescent="0.2">
      <c r="A590" t="s">
        <v>4558</v>
      </c>
      <c r="B590" t="s">
        <v>901</v>
      </c>
      <c r="C590" t="s">
        <v>899</v>
      </c>
    </row>
    <row r="591" spans="1:3" x14ac:dyDescent="0.2">
      <c r="A591" t="s">
        <v>906</v>
      </c>
      <c r="B591" t="s">
        <v>901</v>
      </c>
      <c r="C591" t="s">
        <v>899</v>
      </c>
    </row>
    <row r="592" spans="1:3" x14ac:dyDescent="0.2">
      <c r="A592" t="s">
        <v>4559</v>
      </c>
      <c r="B592" t="s">
        <v>901</v>
      </c>
      <c r="C592" t="s">
        <v>899</v>
      </c>
    </row>
    <row r="593" spans="1:3" x14ac:dyDescent="0.2">
      <c r="A593" t="s">
        <v>3042</v>
      </c>
      <c r="B593" t="s">
        <v>901</v>
      </c>
      <c r="C593" t="s">
        <v>899</v>
      </c>
    </row>
    <row r="594" spans="1:3" x14ac:dyDescent="0.2">
      <c r="A594" t="s">
        <v>826</v>
      </c>
      <c r="B594" t="s">
        <v>791</v>
      </c>
      <c r="C594" t="s">
        <v>827</v>
      </c>
    </row>
    <row r="595" spans="1:3" x14ac:dyDescent="0.2">
      <c r="A595" t="s">
        <v>1215</v>
      </c>
      <c r="B595" t="s">
        <v>898</v>
      </c>
      <c r="C595" t="s">
        <v>1195</v>
      </c>
    </row>
    <row r="596" spans="1:3" x14ac:dyDescent="0.2">
      <c r="A596" t="s">
        <v>828</v>
      </c>
      <c r="B596" t="s">
        <v>829</v>
      </c>
      <c r="C596" t="s">
        <v>830</v>
      </c>
    </row>
    <row r="597" spans="1:3" x14ac:dyDescent="0.2">
      <c r="A597" t="s">
        <v>5127</v>
      </c>
      <c r="B597" t="s">
        <v>829</v>
      </c>
      <c r="C597" t="s">
        <v>830</v>
      </c>
    </row>
    <row r="598" spans="1:3" x14ac:dyDescent="0.2">
      <c r="A598" t="s">
        <v>3043</v>
      </c>
      <c r="B598" t="s">
        <v>829</v>
      </c>
      <c r="C598" t="s">
        <v>863</v>
      </c>
    </row>
    <row r="599" spans="1:3" x14ac:dyDescent="0.2">
      <c r="A599" t="s">
        <v>3044</v>
      </c>
      <c r="B599" t="s">
        <v>829</v>
      </c>
      <c r="C599" t="s">
        <v>863</v>
      </c>
    </row>
    <row r="600" spans="1:3" x14ac:dyDescent="0.2">
      <c r="A600" t="s">
        <v>3045</v>
      </c>
      <c r="B600" t="s">
        <v>829</v>
      </c>
      <c r="C600" t="s">
        <v>863</v>
      </c>
    </row>
    <row r="601" spans="1:3" x14ac:dyDescent="0.2">
      <c r="A601" t="s">
        <v>3046</v>
      </c>
      <c r="B601" t="s">
        <v>829</v>
      </c>
      <c r="C601" t="s">
        <v>863</v>
      </c>
    </row>
    <row r="602" spans="1:3" x14ac:dyDescent="0.2">
      <c r="A602" t="s">
        <v>862</v>
      </c>
      <c r="B602" t="s">
        <v>829</v>
      </c>
      <c r="C602" t="s">
        <v>863</v>
      </c>
    </row>
    <row r="603" spans="1:3" x14ac:dyDescent="0.2">
      <c r="A603" t="s">
        <v>864</v>
      </c>
      <c r="B603" t="s">
        <v>829</v>
      </c>
      <c r="C603" t="s">
        <v>863</v>
      </c>
    </row>
    <row r="604" spans="1:3" x14ac:dyDescent="0.2">
      <c r="A604" t="s">
        <v>865</v>
      </c>
      <c r="B604" t="s">
        <v>829</v>
      </c>
      <c r="C604" t="s">
        <v>863</v>
      </c>
    </row>
    <row r="605" spans="1:3" x14ac:dyDescent="0.2">
      <c r="A605" t="s">
        <v>866</v>
      </c>
      <c r="B605" t="s">
        <v>829</v>
      </c>
      <c r="C605" t="s">
        <v>863</v>
      </c>
    </row>
    <row r="606" spans="1:3" x14ac:dyDescent="0.2">
      <c r="A606" t="s">
        <v>867</v>
      </c>
      <c r="B606" t="s">
        <v>829</v>
      </c>
      <c r="C606" t="s">
        <v>863</v>
      </c>
    </row>
    <row r="607" spans="1:3" x14ac:dyDescent="0.2">
      <c r="A607" t="s">
        <v>6753</v>
      </c>
      <c r="B607" t="s">
        <v>829</v>
      </c>
      <c r="C607" t="s">
        <v>863</v>
      </c>
    </row>
    <row r="608" spans="1:3" x14ac:dyDescent="0.2">
      <c r="A608" t="s">
        <v>6754</v>
      </c>
      <c r="B608" t="s">
        <v>829</v>
      </c>
      <c r="C608" t="s">
        <v>863</v>
      </c>
    </row>
    <row r="609" spans="1:3" x14ac:dyDescent="0.2">
      <c r="A609" t="s">
        <v>868</v>
      </c>
      <c r="B609" t="s">
        <v>829</v>
      </c>
      <c r="C609" t="s">
        <v>863</v>
      </c>
    </row>
    <row r="610" spans="1:3" x14ac:dyDescent="0.2">
      <c r="A610" t="s">
        <v>869</v>
      </c>
      <c r="B610" t="s">
        <v>829</v>
      </c>
      <c r="C610" t="s">
        <v>863</v>
      </c>
    </row>
    <row r="611" spans="1:3" x14ac:dyDescent="0.2">
      <c r="A611" t="s">
        <v>870</v>
      </c>
      <c r="B611" t="s">
        <v>829</v>
      </c>
      <c r="C611" t="s">
        <v>863</v>
      </c>
    </row>
    <row r="612" spans="1:3" x14ac:dyDescent="0.2">
      <c r="A612" t="s">
        <v>6755</v>
      </c>
      <c r="B612" t="s">
        <v>829</v>
      </c>
      <c r="C612" t="s">
        <v>863</v>
      </c>
    </row>
    <row r="613" spans="1:3" x14ac:dyDescent="0.2">
      <c r="A613" t="s">
        <v>5946</v>
      </c>
      <c r="B613" t="s">
        <v>829</v>
      </c>
      <c r="C613" t="s">
        <v>863</v>
      </c>
    </row>
    <row r="614" spans="1:3" x14ac:dyDescent="0.2">
      <c r="A614" t="s">
        <v>6756</v>
      </c>
      <c r="B614" t="s">
        <v>829</v>
      </c>
      <c r="C614" t="s">
        <v>863</v>
      </c>
    </row>
    <row r="615" spans="1:3" x14ac:dyDescent="0.2">
      <c r="A615" t="s">
        <v>6757</v>
      </c>
      <c r="B615" t="s">
        <v>829</v>
      </c>
      <c r="C615" t="s">
        <v>863</v>
      </c>
    </row>
    <row r="616" spans="1:3" x14ac:dyDescent="0.2">
      <c r="A616" t="s">
        <v>3047</v>
      </c>
      <c r="B616" t="s">
        <v>829</v>
      </c>
      <c r="C616" t="s">
        <v>872</v>
      </c>
    </row>
    <row r="617" spans="1:3" x14ac:dyDescent="0.2">
      <c r="A617" t="s">
        <v>3048</v>
      </c>
      <c r="B617" t="s">
        <v>829</v>
      </c>
      <c r="C617" t="s">
        <v>872</v>
      </c>
    </row>
    <row r="618" spans="1:3" x14ac:dyDescent="0.2">
      <c r="A618" t="s">
        <v>3049</v>
      </c>
      <c r="B618" t="s">
        <v>829</v>
      </c>
      <c r="C618" t="s">
        <v>872</v>
      </c>
    </row>
    <row r="619" spans="1:3" x14ac:dyDescent="0.2">
      <c r="A619" t="s">
        <v>3050</v>
      </c>
      <c r="B619" t="s">
        <v>829</v>
      </c>
      <c r="C619" t="s">
        <v>872</v>
      </c>
    </row>
    <row r="620" spans="1:3" x14ac:dyDescent="0.2">
      <c r="A620" t="s">
        <v>871</v>
      </c>
      <c r="B620" t="s">
        <v>829</v>
      </c>
      <c r="C620" t="s">
        <v>872</v>
      </c>
    </row>
    <row r="621" spans="1:3" x14ac:dyDescent="0.2">
      <c r="A621" t="s">
        <v>873</v>
      </c>
      <c r="B621" t="s">
        <v>829</v>
      </c>
      <c r="C621" t="s">
        <v>872</v>
      </c>
    </row>
    <row r="622" spans="1:3" x14ac:dyDescent="0.2">
      <c r="A622" t="s">
        <v>874</v>
      </c>
      <c r="B622" t="s">
        <v>829</v>
      </c>
      <c r="C622" t="s">
        <v>872</v>
      </c>
    </row>
    <row r="623" spans="1:3" x14ac:dyDescent="0.2">
      <c r="A623" t="s">
        <v>875</v>
      </c>
      <c r="B623" t="s">
        <v>829</v>
      </c>
      <c r="C623" t="s">
        <v>872</v>
      </c>
    </row>
    <row r="624" spans="1:3" x14ac:dyDescent="0.2">
      <c r="A624" t="s">
        <v>876</v>
      </c>
      <c r="B624" t="s">
        <v>829</v>
      </c>
      <c r="C624" t="s">
        <v>872</v>
      </c>
    </row>
    <row r="625" spans="1:3" x14ac:dyDescent="0.2">
      <c r="A625" t="s">
        <v>877</v>
      </c>
      <c r="B625" t="s">
        <v>829</v>
      </c>
      <c r="C625" t="s">
        <v>872</v>
      </c>
    </row>
    <row r="626" spans="1:3" x14ac:dyDescent="0.2">
      <c r="A626" t="s">
        <v>878</v>
      </c>
      <c r="B626" t="s">
        <v>829</v>
      </c>
      <c r="C626" t="s">
        <v>872</v>
      </c>
    </row>
    <row r="627" spans="1:3" x14ac:dyDescent="0.2">
      <c r="A627" t="s">
        <v>3051</v>
      </c>
      <c r="B627" t="s">
        <v>829</v>
      </c>
      <c r="C627" t="s">
        <v>872</v>
      </c>
    </row>
    <row r="628" spans="1:3" x14ac:dyDescent="0.2">
      <c r="A628" t="s">
        <v>3052</v>
      </c>
      <c r="B628" t="s">
        <v>829</v>
      </c>
      <c r="C628" t="s">
        <v>872</v>
      </c>
    </row>
    <row r="629" spans="1:3" x14ac:dyDescent="0.2">
      <c r="A629" t="s">
        <v>879</v>
      </c>
      <c r="B629" t="s">
        <v>829</v>
      </c>
      <c r="C629" t="s">
        <v>872</v>
      </c>
    </row>
    <row r="630" spans="1:3" x14ac:dyDescent="0.2">
      <c r="A630" t="s">
        <v>880</v>
      </c>
      <c r="B630" t="s">
        <v>829</v>
      </c>
      <c r="C630" t="s">
        <v>872</v>
      </c>
    </row>
    <row r="631" spans="1:3" x14ac:dyDescent="0.2">
      <c r="A631" t="s">
        <v>881</v>
      </c>
      <c r="B631" t="s">
        <v>829</v>
      </c>
      <c r="C631" t="s">
        <v>872</v>
      </c>
    </row>
    <row r="632" spans="1:3" x14ac:dyDescent="0.2">
      <c r="A632" t="s">
        <v>882</v>
      </c>
      <c r="B632" t="s">
        <v>829</v>
      </c>
      <c r="C632" t="s">
        <v>872</v>
      </c>
    </row>
    <row r="633" spans="1:3" x14ac:dyDescent="0.2">
      <c r="A633" t="s">
        <v>883</v>
      </c>
      <c r="B633" t="s">
        <v>829</v>
      </c>
      <c r="C633" t="s">
        <v>872</v>
      </c>
    </row>
    <row r="634" spans="1:3" x14ac:dyDescent="0.2">
      <c r="A634" t="s">
        <v>884</v>
      </c>
      <c r="B634" t="s">
        <v>829</v>
      </c>
      <c r="C634" t="s">
        <v>872</v>
      </c>
    </row>
    <row r="635" spans="1:3" x14ac:dyDescent="0.2">
      <c r="A635" t="s">
        <v>885</v>
      </c>
      <c r="B635" t="s">
        <v>829</v>
      </c>
      <c r="C635" t="s">
        <v>872</v>
      </c>
    </row>
    <row r="636" spans="1:3" x14ac:dyDescent="0.2">
      <c r="A636" t="s">
        <v>886</v>
      </c>
      <c r="B636" t="s">
        <v>829</v>
      </c>
      <c r="C636" t="s">
        <v>872</v>
      </c>
    </row>
    <row r="637" spans="1:3" x14ac:dyDescent="0.2">
      <c r="A637" t="s">
        <v>5461</v>
      </c>
      <c r="B637" t="s">
        <v>829</v>
      </c>
      <c r="C637" t="s">
        <v>872</v>
      </c>
    </row>
    <row r="638" spans="1:3" x14ac:dyDescent="0.2">
      <c r="A638" t="s">
        <v>5462</v>
      </c>
      <c r="B638" t="s">
        <v>829</v>
      </c>
      <c r="C638" t="s">
        <v>872</v>
      </c>
    </row>
    <row r="639" spans="1:3" x14ac:dyDescent="0.2">
      <c r="A639" t="s">
        <v>5463</v>
      </c>
      <c r="B639" t="s">
        <v>829</v>
      </c>
      <c r="C639" t="s">
        <v>872</v>
      </c>
    </row>
    <row r="640" spans="1:3" x14ac:dyDescent="0.2">
      <c r="A640" t="s">
        <v>5464</v>
      </c>
      <c r="B640" t="s">
        <v>829</v>
      </c>
      <c r="C640" t="s">
        <v>872</v>
      </c>
    </row>
    <row r="641" spans="1:3" x14ac:dyDescent="0.2">
      <c r="A641" t="s">
        <v>5465</v>
      </c>
      <c r="B641" t="s">
        <v>829</v>
      </c>
      <c r="C641" t="s">
        <v>872</v>
      </c>
    </row>
    <row r="642" spans="1:3" x14ac:dyDescent="0.2">
      <c r="A642" t="s">
        <v>5762</v>
      </c>
      <c r="B642" t="s">
        <v>829</v>
      </c>
      <c r="C642" t="s">
        <v>872</v>
      </c>
    </row>
    <row r="643" spans="1:3" x14ac:dyDescent="0.2">
      <c r="A643" t="s">
        <v>5466</v>
      </c>
      <c r="B643" t="s">
        <v>829</v>
      </c>
      <c r="C643" t="s">
        <v>872</v>
      </c>
    </row>
    <row r="644" spans="1:3" x14ac:dyDescent="0.2">
      <c r="A644" t="s">
        <v>5467</v>
      </c>
      <c r="B644" t="s">
        <v>829</v>
      </c>
      <c r="C644" t="s">
        <v>872</v>
      </c>
    </row>
    <row r="645" spans="1:3" x14ac:dyDescent="0.2">
      <c r="A645" t="s">
        <v>5468</v>
      </c>
      <c r="B645" t="s">
        <v>829</v>
      </c>
      <c r="C645" t="s">
        <v>872</v>
      </c>
    </row>
    <row r="646" spans="1:3" x14ac:dyDescent="0.2">
      <c r="A646" t="s">
        <v>5469</v>
      </c>
      <c r="B646" t="s">
        <v>829</v>
      </c>
      <c r="C646" t="s">
        <v>872</v>
      </c>
    </row>
    <row r="647" spans="1:3" x14ac:dyDescent="0.2">
      <c r="A647" t="s">
        <v>5470</v>
      </c>
      <c r="B647" t="s">
        <v>829</v>
      </c>
      <c r="C647" t="s">
        <v>872</v>
      </c>
    </row>
    <row r="648" spans="1:3" x14ac:dyDescent="0.2">
      <c r="A648" t="s">
        <v>5471</v>
      </c>
      <c r="B648" t="s">
        <v>829</v>
      </c>
      <c r="C648" t="s">
        <v>872</v>
      </c>
    </row>
    <row r="649" spans="1:3" x14ac:dyDescent="0.2">
      <c r="A649" t="s">
        <v>6758</v>
      </c>
      <c r="B649" t="s">
        <v>829</v>
      </c>
      <c r="C649" t="s">
        <v>872</v>
      </c>
    </row>
    <row r="650" spans="1:3" x14ac:dyDescent="0.2">
      <c r="A650" t="s">
        <v>6759</v>
      </c>
      <c r="B650" t="s">
        <v>829</v>
      </c>
      <c r="C650" t="s">
        <v>872</v>
      </c>
    </row>
    <row r="651" spans="1:3" x14ac:dyDescent="0.2">
      <c r="A651" t="s">
        <v>6760</v>
      </c>
      <c r="B651" t="s">
        <v>829</v>
      </c>
      <c r="C651" t="s">
        <v>872</v>
      </c>
    </row>
    <row r="652" spans="1:3" x14ac:dyDescent="0.2">
      <c r="A652" t="s">
        <v>860</v>
      </c>
      <c r="B652" t="s">
        <v>829</v>
      </c>
      <c r="C652" t="s">
        <v>861</v>
      </c>
    </row>
    <row r="653" spans="1:3" x14ac:dyDescent="0.2">
      <c r="A653" t="s">
        <v>831</v>
      </c>
      <c r="B653" t="s">
        <v>829</v>
      </c>
      <c r="C653" t="s">
        <v>830</v>
      </c>
    </row>
    <row r="654" spans="1:3" x14ac:dyDescent="0.2">
      <c r="A654" t="s">
        <v>3053</v>
      </c>
      <c r="B654" t="s">
        <v>829</v>
      </c>
      <c r="C654" t="s">
        <v>830</v>
      </c>
    </row>
    <row r="655" spans="1:3" x14ac:dyDescent="0.2">
      <c r="A655" t="s">
        <v>832</v>
      </c>
      <c r="B655" t="s">
        <v>829</v>
      </c>
      <c r="C655" t="s">
        <v>830</v>
      </c>
    </row>
    <row r="656" spans="1:3" x14ac:dyDescent="0.2">
      <c r="A656" t="s">
        <v>833</v>
      </c>
      <c r="B656" t="s">
        <v>829</v>
      </c>
      <c r="C656" t="s">
        <v>830</v>
      </c>
    </row>
    <row r="657" spans="1:3" x14ac:dyDescent="0.2">
      <c r="A657" t="s">
        <v>3054</v>
      </c>
      <c r="B657" t="s">
        <v>829</v>
      </c>
      <c r="C657" t="s">
        <v>830</v>
      </c>
    </row>
    <row r="658" spans="1:3" x14ac:dyDescent="0.2">
      <c r="A658" t="s">
        <v>3055</v>
      </c>
      <c r="B658" t="s">
        <v>829</v>
      </c>
      <c r="C658" t="s">
        <v>830</v>
      </c>
    </row>
    <row r="659" spans="1:3" x14ac:dyDescent="0.2">
      <c r="A659" t="s">
        <v>834</v>
      </c>
      <c r="B659" t="s">
        <v>829</v>
      </c>
      <c r="C659" t="s">
        <v>830</v>
      </c>
    </row>
    <row r="660" spans="1:3" x14ac:dyDescent="0.2">
      <c r="A660" t="s">
        <v>835</v>
      </c>
      <c r="B660" t="s">
        <v>829</v>
      </c>
      <c r="C660" t="s">
        <v>830</v>
      </c>
    </row>
    <row r="661" spans="1:3" x14ac:dyDescent="0.2">
      <c r="A661" t="s">
        <v>836</v>
      </c>
      <c r="B661" t="s">
        <v>829</v>
      </c>
      <c r="C661" t="s">
        <v>830</v>
      </c>
    </row>
    <row r="662" spans="1:3" x14ac:dyDescent="0.2">
      <c r="A662" t="s">
        <v>3056</v>
      </c>
      <c r="B662" t="s">
        <v>829</v>
      </c>
      <c r="C662" t="s">
        <v>830</v>
      </c>
    </row>
    <row r="663" spans="1:3" x14ac:dyDescent="0.2">
      <c r="A663" t="s">
        <v>3057</v>
      </c>
      <c r="B663" t="s">
        <v>829</v>
      </c>
      <c r="C663" t="s">
        <v>830</v>
      </c>
    </row>
    <row r="664" spans="1:3" x14ac:dyDescent="0.2">
      <c r="A664" t="s">
        <v>837</v>
      </c>
      <c r="B664" t="s">
        <v>829</v>
      </c>
      <c r="C664" t="s">
        <v>830</v>
      </c>
    </row>
    <row r="665" spans="1:3" x14ac:dyDescent="0.2">
      <c r="A665" t="s">
        <v>838</v>
      </c>
      <c r="B665" t="s">
        <v>829</v>
      </c>
      <c r="C665" t="s">
        <v>830</v>
      </c>
    </row>
    <row r="666" spans="1:3" x14ac:dyDescent="0.2">
      <c r="A666" t="s">
        <v>839</v>
      </c>
      <c r="B666" t="s">
        <v>829</v>
      </c>
      <c r="C666" t="s">
        <v>830</v>
      </c>
    </row>
    <row r="667" spans="1:3" x14ac:dyDescent="0.2">
      <c r="A667" t="s">
        <v>840</v>
      </c>
      <c r="B667" t="s">
        <v>829</v>
      </c>
      <c r="C667" t="s">
        <v>830</v>
      </c>
    </row>
    <row r="668" spans="1:3" x14ac:dyDescent="0.2">
      <c r="A668" t="s">
        <v>841</v>
      </c>
      <c r="B668" t="s">
        <v>829</v>
      </c>
      <c r="C668" t="s">
        <v>830</v>
      </c>
    </row>
    <row r="669" spans="1:3" x14ac:dyDescent="0.2">
      <c r="A669" t="s">
        <v>842</v>
      </c>
      <c r="B669" t="s">
        <v>829</v>
      </c>
      <c r="C669" t="s">
        <v>830</v>
      </c>
    </row>
    <row r="670" spans="1:3" x14ac:dyDescent="0.2">
      <c r="A670" t="s">
        <v>843</v>
      </c>
      <c r="B670" t="s">
        <v>829</v>
      </c>
      <c r="C670" t="s">
        <v>830</v>
      </c>
    </row>
    <row r="671" spans="1:3" x14ac:dyDescent="0.2">
      <c r="A671" t="s">
        <v>844</v>
      </c>
      <c r="B671" t="s">
        <v>829</v>
      </c>
      <c r="C671" t="s">
        <v>830</v>
      </c>
    </row>
    <row r="672" spans="1:3" x14ac:dyDescent="0.2">
      <c r="A672" t="s">
        <v>845</v>
      </c>
      <c r="B672" t="s">
        <v>829</v>
      </c>
      <c r="C672" t="s">
        <v>830</v>
      </c>
    </row>
    <row r="673" spans="1:3" x14ac:dyDescent="0.2">
      <c r="A673" t="s">
        <v>846</v>
      </c>
      <c r="B673" t="s">
        <v>829</v>
      </c>
      <c r="C673" t="s">
        <v>830</v>
      </c>
    </row>
    <row r="674" spans="1:3" x14ac:dyDescent="0.2">
      <c r="A674" t="s">
        <v>3058</v>
      </c>
      <c r="B674" t="s">
        <v>829</v>
      </c>
      <c r="C674" t="s">
        <v>830</v>
      </c>
    </row>
    <row r="675" spans="1:3" x14ac:dyDescent="0.2">
      <c r="A675" t="s">
        <v>5257</v>
      </c>
      <c r="B675" t="s">
        <v>829</v>
      </c>
      <c r="C675" t="s">
        <v>830</v>
      </c>
    </row>
    <row r="676" spans="1:3" x14ac:dyDescent="0.2">
      <c r="A676" t="s">
        <v>847</v>
      </c>
      <c r="B676" t="s">
        <v>829</v>
      </c>
      <c r="C676" t="s">
        <v>830</v>
      </c>
    </row>
    <row r="677" spans="1:3" x14ac:dyDescent="0.2">
      <c r="A677" t="s">
        <v>848</v>
      </c>
      <c r="B677" t="s">
        <v>829</v>
      </c>
      <c r="C677" t="s">
        <v>830</v>
      </c>
    </row>
    <row r="678" spans="1:3" x14ac:dyDescent="0.2">
      <c r="A678" t="s">
        <v>849</v>
      </c>
      <c r="B678" t="s">
        <v>829</v>
      </c>
      <c r="C678" t="s">
        <v>830</v>
      </c>
    </row>
    <row r="679" spans="1:3" x14ac:dyDescent="0.2">
      <c r="A679" t="s">
        <v>4928</v>
      </c>
      <c r="B679" t="s">
        <v>829</v>
      </c>
      <c r="C679" t="s">
        <v>830</v>
      </c>
    </row>
    <row r="680" spans="1:3" x14ac:dyDescent="0.2">
      <c r="A680" t="s">
        <v>850</v>
      </c>
      <c r="B680" t="s">
        <v>829</v>
      </c>
      <c r="C680" t="s">
        <v>830</v>
      </c>
    </row>
    <row r="681" spans="1:3" x14ac:dyDescent="0.2">
      <c r="A681" t="s">
        <v>851</v>
      </c>
      <c r="B681" t="s">
        <v>829</v>
      </c>
      <c r="C681" t="s">
        <v>830</v>
      </c>
    </row>
    <row r="682" spans="1:3" x14ac:dyDescent="0.2">
      <c r="A682" t="s">
        <v>852</v>
      </c>
      <c r="B682" t="s">
        <v>829</v>
      </c>
      <c r="C682" t="s">
        <v>830</v>
      </c>
    </row>
    <row r="683" spans="1:3" x14ac:dyDescent="0.2">
      <c r="A683" t="s">
        <v>3059</v>
      </c>
      <c r="B683" t="s">
        <v>829</v>
      </c>
      <c r="C683" t="s">
        <v>830</v>
      </c>
    </row>
    <row r="684" spans="1:3" x14ac:dyDescent="0.2">
      <c r="A684" t="s">
        <v>853</v>
      </c>
      <c r="B684" t="s">
        <v>829</v>
      </c>
      <c r="C684" t="s">
        <v>830</v>
      </c>
    </row>
    <row r="685" spans="1:3" x14ac:dyDescent="0.2">
      <c r="A685" t="s">
        <v>854</v>
      </c>
      <c r="B685" t="s">
        <v>829</v>
      </c>
      <c r="C685" t="s">
        <v>830</v>
      </c>
    </row>
    <row r="686" spans="1:3" x14ac:dyDescent="0.2">
      <c r="A686" t="s">
        <v>855</v>
      </c>
      <c r="B686" t="s">
        <v>829</v>
      </c>
      <c r="C686" t="s">
        <v>830</v>
      </c>
    </row>
    <row r="687" spans="1:3" x14ac:dyDescent="0.2">
      <c r="A687" t="s">
        <v>3060</v>
      </c>
      <c r="B687" t="s">
        <v>829</v>
      </c>
      <c r="C687" t="s">
        <v>830</v>
      </c>
    </row>
    <row r="688" spans="1:3" x14ac:dyDescent="0.2">
      <c r="A688" t="s">
        <v>3061</v>
      </c>
      <c r="B688" t="s">
        <v>829</v>
      </c>
      <c r="C688" t="s">
        <v>830</v>
      </c>
    </row>
    <row r="689" spans="1:3" x14ac:dyDescent="0.2">
      <c r="A689" t="s">
        <v>3062</v>
      </c>
      <c r="B689" t="s">
        <v>829</v>
      </c>
      <c r="C689" t="s">
        <v>830</v>
      </c>
    </row>
    <row r="690" spans="1:3" x14ac:dyDescent="0.2">
      <c r="A690" t="s">
        <v>856</v>
      </c>
      <c r="B690" t="s">
        <v>829</v>
      </c>
      <c r="C690" t="s">
        <v>830</v>
      </c>
    </row>
    <row r="691" spans="1:3" x14ac:dyDescent="0.2">
      <c r="A691" t="s">
        <v>857</v>
      </c>
      <c r="B691" t="s">
        <v>829</v>
      </c>
      <c r="C691" t="s">
        <v>830</v>
      </c>
    </row>
    <row r="692" spans="1:3" x14ac:dyDescent="0.2">
      <c r="A692" t="s">
        <v>3063</v>
      </c>
      <c r="B692" t="s">
        <v>829</v>
      </c>
      <c r="C692" t="s">
        <v>830</v>
      </c>
    </row>
    <row r="693" spans="1:3" x14ac:dyDescent="0.2">
      <c r="A693" t="s">
        <v>3064</v>
      </c>
      <c r="B693" t="s">
        <v>829</v>
      </c>
      <c r="C693" t="s">
        <v>830</v>
      </c>
    </row>
    <row r="694" spans="1:3" x14ac:dyDescent="0.2">
      <c r="A694" t="s">
        <v>3065</v>
      </c>
      <c r="B694" t="s">
        <v>829</v>
      </c>
      <c r="C694" t="s">
        <v>830</v>
      </c>
    </row>
    <row r="695" spans="1:3" x14ac:dyDescent="0.2">
      <c r="A695" t="s">
        <v>858</v>
      </c>
      <c r="B695" t="s">
        <v>829</v>
      </c>
      <c r="C695" t="s">
        <v>830</v>
      </c>
    </row>
    <row r="696" spans="1:3" x14ac:dyDescent="0.2">
      <c r="A696" t="s">
        <v>859</v>
      </c>
      <c r="B696" t="s">
        <v>829</v>
      </c>
      <c r="C696" t="s">
        <v>830</v>
      </c>
    </row>
    <row r="697" spans="1:3" x14ac:dyDescent="0.2">
      <c r="A697" t="s">
        <v>895</v>
      </c>
      <c r="B697" t="s">
        <v>829</v>
      </c>
      <c r="C697" t="s">
        <v>896</v>
      </c>
    </row>
    <row r="698" spans="1:3" x14ac:dyDescent="0.2">
      <c r="A698" t="s">
        <v>5002</v>
      </c>
      <c r="B698" t="s">
        <v>7219</v>
      </c>
      <c r="C698" t="s">
        <v>5017</v>
      </c>
    </row>
    <row r="699" spans="1:3" x14ac:dyDescent="0.2">
      <c r="A699" t="s">
        <v>5003</v>
      </c>
      <c r="B699" t="s">
        <v>7219</v>
      </c>
      <c r="C699" t="s">
        <v>5017</v>
      </c>
    </row>
    <row r="700" spans="1:3" x14ac:dyDescent="0.2">
      <c r="A700" t="s">
        <v>5004</v>
      </c>
      <c r="B700" t="s">
        <v>7219</v>
      </c>
      <c r="C700" t="s">
        <v>5017</v>
      </c>
    </row>
    <row r="701" spans="1:3" x14ac:dyDescent="0.2">
      <c r="A701" t="s">
        <v>5005</v>
      </c>
      <c r="B701" t="s">
        <v>7219</v>
      </c>
      <c r="C701" t="s">
        <v>5017</v>
      </c>
    </row>
    <row r="702" spans="1:3" x14ac:dyDescent="0.2">
      <c r="A702" t="s">
        <v>5006</v>
      </c>
      <c r="B702" t="s">
        <v>7219</v>
      </c>
      <c r="C702" t="s">
        <v>5017</v>
      </c>
    </row>
    <row r="703" spans="1:3" x14ac:dyDescent="0.2">
      <c r="A703" t="s">
        <v>5007</v>
      </c>
      <c r="B703" t="s">
        <v>7219</v>
      </c>
      <c r="C703" t="s">
        <v>5017</v>
      </c>
    </row>
    <row r="704" spans="1:3" x14ac:dyDescent="0.2">
      <c r="A704" t="s">
        <v>5008</v>
      </c>
      <c r="B704" t="s">
        <v>7219</v>
      </c>
      <c r="C704" t="s">
        <v>5018</v>
      </c>
    </row>
    <row r="705" spans="1:3" x14ac:dyDescent="0.2">
      <c r="A705" t="s">
        <v>5009</v>
      </c>
      <c r="B705" t="s">
        <v>7219</v>
      </c>
      <c r="C705" t="s">
        <v>5018</v>
      </c>
    </row>
    <row r="706" spans="1:3" x14ac:dyDescent="0.2">
      <c r="A706" t="s">
        <v>5010</v>
      </c>
      <c r="B706" t="s">
        <v>7219</v>
      </c>
      <c r="C706" t="s">
        <v>5018</v>
      </c>
    </row>
    <row r="707" spans="1:3" x14ac:dyDescent="0.2">
      <c r="A707" t="s">
        <v>5011</v>
      </c>
      <c r="B707" t="s">
        <v>7219</v>
      </c>
      <c r="C707" t="s">
        <v>5018</v>
      </c>
    </row>
    <row r="708" spans="1:3" x14ac:dyDescent="0.2">
      <c r="A708" t="s">
        <v>5012</v>
      </c>
      <c r="B708" t="s">
        <v>7219</v>
      </c>
      <c r="C708" t="s">
        <v>5018</v>
      </c>
    </row>
    <row r="709" spans="1:3" x14ac:dyDescent="0.2">
      <c r="A709" t="s">
        <v>5013</v>
      </c>
      <c r="B709" t="s">
        <v>7219</v>
      </c>
      <c r="C709" t="s">
        <v>5018</v>
      </c>
    </row>
    <row r="710" spans="1:3" x14ac:dyDescent="0.2">
      <c r="A710" t="s">
        <v>5014</v>
      </c>
      <c r="B710" t="s">
        <v>7219</v>
      </c>
      <c r="C710" t="s">
        <v>5018</v>
      </c>
    </row>
    <row r="711" spans="1:3" x14ac:dyDescent="0.2">
      <c r="A711" t="s">
        <v>5015</v>
      </c>
      <c r="B711" t="s">
        <v>7219</v>
      </c>
      <c r="C711" t="s">
        <v>5018</v>
      </c>
    </row>
    <row r="712" spans="1:3" x14ac:dyDescent="0.2">
      <c r="A712" t="s">
        <v>5939</v>
      </c>
      <c r="B712" t="s">
        <v>7219</v>
      </c>
      <c r="C712" t="s">
        <v>5019</v>
      </c>
    </row>
    <row r="713" spans="1:3" x14ac:dyDescent="0.2">
      <c r="A713" t="s">
        <v>5940</v>
      </c>
      <c r="B713" t="s">
        <v>7219</v>
      </c>
      <c r="C713" t="s">
        <v>5019</v>
      </c>
    </row>
    <row r="714" spans="1:3" x14ac:dyDescent="0.2">
      <c r="A714" t="s">
        <v>5016</v>
      </c>
      <c r="B714" t="s">
        <v>7219</v>
      </c>
      <c r="C714" t="s">
        <v>5019</v>
      </c>
    </row>
    <row r="715" spans="1:3" x14ac:dyDescent="0.2">
      <c r="A715" t="s">
        <v>1230</v>
      </c>
      <c r="B715" t="s">
        <v>1231</v>
      </c>
      <c r="C715" t="s">
        <v>1232</v>
      </c>
    </row>
    <row r="716" spans="1:3" x14ac:dyDescent="0.2">
      <c r="A716" t="s">
        <v>1233</v>
      </c>
      <c r="B716" t="s">
        <v>1231</v>
      </c>
      <c r="C716" t="s">
        <v>1232</v>
      </c>
    </row>
    <row r="717" spans="1:3" x14ac:dyDescent="0.2">
      <c r="A717" t="s">
        <v>1225</v>
      </c>
      <c r="B717" t="s">
        <v>1221</v>
      </c>
      <c r="C717" t="s">
        <v>1226</v>
      </c>
    </row>
    <row r="718" spans="1:3" x14ac:dyDescent="0.2">
      <c r="A718" t="s">
        <v>1227</v>
      </c>
      <c r="B718" t="s">
        <v>1221</v>
      </c>
      <c r="C718" t="s">
        <v>1226</v>
      </c>
    </row>
    <row r="719" spans="1:3" x14ac:dyDescent="0.2">
      <c r="A719" t="s">
        <v>4560</v>
      </c>
      <c r="B719" t="s">
        <v>1221</v>
      </c>
      <c r="C719" t="s">
        <v>1226</v>
      </c>
    </row>
    <row r="720" spans="1:3" x14ac:dyDescent="0.2">
      <c r="A720" t="s">
        <v>1223</v>
      </c>
      <c r="B720" t="s">
        <v>1221</v>
      </c>
      <c r="C720" t="s">
        <v>1224</v>
      </c>
    </row>
    <row r="721" spans="1:3" x14ac:dyDescent="0.2">
      <c r="A721" t="s">
        <v>1228</v>
      </c>
      <c r="B721" t="s">
        <v>1221</v>
      </c>
      <c r="C721" t="s">
        <v>1226</v>
      </c>
    </row>
    <row r="722" spans="1:3" x14ac:dyDescent="0.2">
      <c r="A722" t="s">
        <v>1220</v>
      </c>
      <c r="B722" t="s">
        <v>1221</v>
      </c>
      <c r="C722" t="s">
        <v>1222</v>
      </c>
    </row>
    <row r="723" spans="1:3" x14ac:dyDescent="0.2">
      <c r="A723" t="s">
        <v>4561</v>
      </c>
      <c r="B723" t="s">
        <v>1221</v>
      </c>
      <c r="C723" t="s">
        <v>1226</v>
      </c>
    </row>
    <row r="724" spans="1:3" x14ac:dyDescent="0.2">
      <c r="A724" t="s">
        <v>1229</v>
      </c>
      <c r="B724" t="s">
        <v>1221</v>
      </c>
      <c r="C724" t="s">
        <v>1226</v>
      </c>
    </row>
    <row r="725" spans="1:3" x14ac:dyDescent="0.2">
      <c r="A725" t="s">
        <v>1218</v>
      </c>
      <c r="B725" t="s">
        <v>7219</v>
      </c>
      <c r="C725" t="s">
        <v>1219</v>
      </c>
    </row>
    <row r="726" spans="1:3" x14ac:dyDescent="0.2">
      <c r="A726" t="s">
        <v>1216</v>
      </c>
      <c r="B726" t="s">
        <v>7219</v>
      </c>
      <c r="C726" t="s">
        <v>1217</v>
      </c>
    </row>
    <row r="727" spans="1:3" x14ac:dyDescent="0.2">
      <c r="A727" t="s">
        <v>1234</v>
      </c>
      <c r="B727" t="s">
        <v>1235</v>
      </c>
      <c r="C727" t="s">
        <v>1236</v>
      </c>
    </row>
    <row r="728" spans="1:3" x14ac:dyDescent="0.2">
      <c r="A728" t="s">
        <v>1237</v>
      </c>
      <c r="B728" t="s">
        <v>1238</v>
      </c>
      <c r="C728" t="s">
        <v>1239</v>
      </c>
    </row>
    <row r="729" spans="1:3" x14ac:dyDescent="0.2">
      <c r="A729" t="s">
        <v>1240</v>
      </c>
      <c r="B729" t="s">
        <v>1238</v>
      </c>
      <c r="C729" t="s">
        <v>1239</v>
      </c>
    </row>
    <row r="730" spans="1:3" x14ac:dyDescent="0.2">
      <c r="A730" t="s">
        <v>1241</v>
      </c>
      <c r="B730" t="s">
        <v>1238</v>
      </c>
      <c r="C730" t="s">
        <v>1239</v>
      </c>
    </row>
    <row r="731" spans="1:3" x14ac:dyDescent="0.2">
      <c r="A731" t="s">
        <v>1242</v>
      </c>
      <c r="B731" t="s">
        <v>1238</v>
      </c>
      <c r="C731" t="s">
        <v>1239</v>
      </c>
    </row>
    <row r="732" spans="1:3" x14ac:dyDescent="0.2">
      <c r="A732" t="s">
        <v>1243</v>
      </c>
      <c r="B732" t="s">
        <v>1238</v>
      </c>
      <c r="C732" t="s">
        <v>1239</v>
      </c>
    </row>
    <row r="733" spans="1:3" x14ac:dyDescent="0.2">
      <c r="A733" t="s">
        <v>1244</v>
      </c>
      <c r="B733" t="s">
        <v>1238</v>
      </c>
      <c r="C733" t="s">
        <v>1239</v>
      </c>
    </row>
    <row r="734" spans="1:3" x14ac:dyDescent="0.2">
      <c r="A734" t="s">
        <v>1245</v>
      </c>
      <c r="B734" t="s">
        <v>1238</v>
      </c>
      <c r="C734" t="s">
        <v>1239</v>
      </c>
    </row>
    <row r="735" spans="1:3" x14ac:dyDescent="0.2">
      <c r="A735" t="s">
        <v>1246</v>
      </c>
      <c r="B735" t="s">
        <v>1238</v>
      </c>
      <c r="C735" t="s">
        <v>1239</v>
      </c>
    </row>
    <row r="736" spans="1:3" x14ac:dyDescent="0.2">
      <c r="A736" t="s">
        <v>1247</v>
      </c>
      <c r="B736" t="s">
        <v>1238</v>
      </c>
      <c r="C736" t="s">
        <v>1239</v>
      </c>
    </row>
    <row r="737" spans="1:3" x14ac:dyDescent="0.2">
      <c r="A737" t="s">
        <v>1248</v>
      </c>
      <c r="B737" t="s">
        <v>1238</v>
      </c>
      <c r="C737" t="s">
        <v>1239</v>
      </c>
    </row>
    <row r="738" spans="1:3" x14ac:dyDescent="0.2">
      <c r="A738" t="s">
        <v>1249</v>
      </c>
      <c r="B738" t="s">
        <v>1238</v>
      </c>
      <c r="C738" t="s">
        <v>1239</v>
      </c>
    </row>
    <row r="739" spans="1:3" x14ac:dyDescent="0.2">
      <c r="A739" t="s">
        <v>1250</v>
      </c>
      <c r="B739" t="s">
        <v>1238</v>
      </c>
      <c r="C739" t="s">
        <v>1239</v>
      </c>
    </row>
    <row r="740" spans="1:3" x14ac:dyDescent="0.2">
      <c r="A740" t="s">
        <v>1251</v>
      </c>
      <c r="B740" t="s">
        <v>1238</v>
      </c>
      <c r="C740" t="s">
        <v>1239</v>
      </c>
    </row>
    <row r="741" spans="1:3" x14ac:dyDescent="0.2">
      <c r="A741" t="s">
        <v>5472</v>
      </c>
      <c r="B741" t="s">
        <v>1238</v>
      </c>
      <c r="C741" t="s">
        <v>1239</v>
      </c>
    </row>
    <row r="742" spans="1:3" x14ac:dyDescent="0.2">
      <c r="A742" t="s">
        <v>1252</v>
      </c>
      <c r="B742" t="s">
        <v>1238</v>
      </c>
      <c r="C742" t="s">
        <v>1239</v>
      </c>
    </row>
    <row r="743" spans="1:3" x14ac:dyDescent="0.2">
      <c r="A743" t="s">
        <v>3066</v>
      </c>
      <c r="B743" t="s">
        <v>1238</v>
      </c>
      <c r="C743" t="s">
        <v>1239</v>
      </c>
    </row>
    <row r="744" spans="1:3" x14ac:dyDescent="0.2">
      <c r="A744" t="s">
        <v>5634</v>
      </c>
      <c r="B744" t="s">
        <v>1238</v>
      </c>
      <c r="C744" t="s">
        <v>1239</v>
      </c>
    </row>
    <row r="745" spans="1:3" x14ac:dyDescent="0.2">
      <c r="A745" t="s">
        <v>4562</v>
      </c>
      <c r="B745" t="s">
        <v>1238</v>
      </c>
      <c r="C745" t="s">
        <v>1239</v>
      </c>
    </row>
    <row r="746" spans="1:3" x14ac:dyDescent="0.2">
      <c r="A746" t="s">
        <v>1253</v>
      </c>
      <c r="B746" t="s">
        <v>1238</v>
      </c>
      <c r="C746" t="s">
        <v>1239</v>
      </c>
    </row>
    <row r="747" spans="1:3" x14ac:dyDescent="0.2">
      <c r="A747" t="s">
        <v>3067</v>
      </c>
      <c r="B747" t="s">
        <v>1238</v>
      </c>
      <c r="C747" t="s">
        <v>1239</v>
      </c>
    </row>
    <row r="748" spans="1:3" x14ac:dyDescent="0.2">
      <c r="A748" t="s">
        <v>3068</v>
      </c>
      <c r="B748" t="s">
        <v>1238</v>
      </c>
      <c r="C748" t="s">
        <v>1239</v>
      </c>
    </row>
    <row r="749" spans="1:3" x14ac:dyDescent="0.2">
      <c r="A749" t="s">
        <v>1254</v>
      </c>
      <c r="B749" t="s">
        <v>1238</v>
      </c>
      <c r="C749" t="s">
        <v>1239</v>
      </c>
    </row>
    <row r="750" spans="1:3" x14ac:dyDescent="0.2">
      <c r="A750" t="s">
        <v>5258</v>
      </c>
      <c r="B750" t="s">
        <v>1238</v>
      </c>
      <c r="C750" t="s">
        <v>1239</v>
      </c>
    </row>
    <row r="751" spans="1:3" x14ac:dyDescent="0.2">
      <c r="A751" t="s">
        <v>4563</v>
      </c>
      <c r="B751" t="s">
        <v>1238</v>
      </c>
      <c r="C751" t="s">
        <v>1239</v>
      </c>
    </row>
    <row r="752" spans="1:3" x14ac:dyDescent="0.2">
      <c r="A752" t="s">
        <v>3069</v>
      </c>
      <c r="B752" t="s">
        <v>1238</v>
      </c>
      <c r="C752" t="s">
        <v>1239</v>
      </c>
    </row>
    <row r="753" spans="1:3" x14ac:dyDescent="0.2">
      <c r="A753" t="s">
        <v>3070</v>
      </c>
      <c r="B753" t="s">
        <v>1238</v>
      </c>
      <c r="C753" t="s">
        <v>1239</v>
      </c>
    </row>
    <row r="754" spans="1:3" x14ac:dyDescent="0.2">
      <c r="A754" t="s">
        <v>1255</v>
      </c>
      <c r="B754" t="s">
        <v>1238</v>
      </c>
      <c r="C754" t="s">
        <v>1239</v>
      </c>
    </row>
    <row r="755" spans="1:3" x14ac:dyDescent="0.2">
      <c r="A755" t="s">
        <v>1256</v>
      </c>
      <c r="B755" t="s">
        <v>1238</v>
      </c>
      <c r="C755" t="s">
        <v>1239</v>
      </c>
    </row>
    <row r="756" spans="1:3" x14ac:dyDescent="0.2">
      <c r="A756" t="s">
        <v>5761</v>
      </c>
      <c r="B756" t="s">
        <v>1238</v>
      </c>
      <c r="C756" t="s">
        <v>1239</v>
      </c>
    </row>
    <row r="757" spans="1:3" x14ac:dyDescent="0.2">
      <c r="A757" t="s">
        <v>1257</v>
      </c>
      <c r="B757" t="s">
        <v>1238</v>
      </c>
      <c r="C757" t="s">
        <v>1239</v>
      </c>
    </row>
    <row r="758" spans="1:3" x14ac:dyDescent="0.2">
      <c r="A758" t="s">
        <v>1258</v>
      </c>
      <c r="B758" t="s">
        <v>1238</v>
      </c>
      <c r="C758" t="s">
        <v>1239</v>
      </c>
    </row>
    <row r="759" spans="1:3" x14ac:dyDescent="0.2">
      <c r="A759" t="s">
        <v>5635</v>
      </c>
      <c r="B759" t="s">
        <v>1238</v>
      </c>
      <c r="C759" t="s">
        <v>1239</v>
      </c>
    </row>
    <row r="760" spans="1:3" x14ac:dyDescent="0.2">
      <c r="A760" t="s">
        <v>5636</v>
      </c>
      <c r="B760" t="s">
        <v>1238</v>
      </c>
      <c r="C760" t="s">
        <v>1239</v>
      </c>
    </row>
    <row r="761" spans="1:3" x14ac:dyDescent="0.2">
      <c r="A761" t="s">
        <v>1259</v>
      </c>
      <c r="B761" t="s">
        <v>1238</v>
      </c>
      <c r="C761" t="s">
        <v>1239</v>
      </c>
    </row>
    <row r="762" spans="1:3" x14ac:dyDescent="0.2">
      <c r="A762" t="s">
        <v>1260</v>
      </c>
      <c r="B762" t="s">
        <v>1238</v>
      </c>
      <c r="C762" t="s">
        <v>1239</v>
      </c>
    </row>
    <row r="763" spans="1:3" x14ac:dyDescent="0.2">
      <c r="A763" t="s">
        <v>1261</v>
      </c>
      <c r="B763" t="s">
        <v>1238</v>
      </c>
      <c r="C763" t="s">
        <v>1239</v>
      </c>
    </row>
    <row r="764" spans="1:3" x14ac:dyDescent="0.2">
      <c r="A764" t="s">
        <v>5637</v>
      </c>
      <c r="B764" t="s">
        <v>1238</v>
      </c>
      <c r="C764" t="s">
        <v>1239</v>
      </c>
    </row>
    <row r="765" spans="1:3" x14ac:dyDescent="0.2">
      <c r="A765" t="s">
        <v>5947</v>
      </c>
      <c r="B765" t="s">
        <v>1238</v>
      </c>
      <c r="C765" t="s">
        <v>1239</v>
      </c>
    </row>
    <row r="766" spans="1:3" x14ac:dyDescent="0.2">
      <c r="A766" t="s">
        <v>3071</v>
      </c>
      <c r="B766" t="s">
        <v>1238</v>
      </c>
      <c r="C766" t="s">
        <v>1239</v>
      </c>
    </row>
    <row r="767" spans="1:3" x14ac:dyDescent="0.2">
      <c r="A767" t="s">
        <v>3072</v>
      </c>
      <c r="B767" t="s">
        <v>1238</v>
      </c>
      <c r="C767" t="s">
        <v>1239</v>
      </c>
    </row>
    <row r="768" spans="1:3" x14ac:dyDescent="0.2">
      <c r="A768" t="s">
        <v>3073</v>
      </c>
      <c r="B768" t="s">
        <v>1238</v>
      </c>
      <c r="C768" t="s">
        <v>1239</v>
      </c>
    </row>
    <row r="769" spans="1:3" x14ac:dyDescent="0.2">
      <c r="A769" t="s">
        <v>1262</v>
      </c>
      <c r="B769" t="s">
        <v>1238</v>
      </c>
      <c r="C769" t="s">
        <v>1239</v>
      </c>
    </row>
    <row r="770" spans="1:3" x14ac:dyDescent="0.2">
      <c r="A770" t="s">
        <v>1263</v>
      </c>
      <c r="B770" t="s">
        <v>1238</v>
      </c>
      <c r="C770" t="s">
        <v>1239</v>
      </c>
    </row>
    <row r="771" spans="1:3" x14ac:dyDescent="0.2">
      <c r="A771" t="s">
        <v>1264</v>
      </c>
      <c r="B771" t="s">
        <v>1238</v>
      </c>
      <c r="C771" t="s">
        <v>1239</v>
      </c>
    </row>
    <row r="772" spans="1:3" x14ac:dyDescent="0.2">
      <c r="A772" t="s">
        <v>1265</v>
      </c>
      <c r="B772" t="s">
        <v>1238</v>
      </c>
      <c r="C772" t="s">
        <v>1239</v>
      </c>
    </row>
    <row r="773" spans="1:3" x14ac:dyDescent="0.2">
      <c r="A773" t="s">
        <v>1266</v>
      </c>
      <c r="B773" t="s">
        <v>1238</v>
      </c>
      <c r="C773" t="s">
        <v>1239</v>
      </c>
    </row>
    <row r="774" spans="1:3" x14ac:dyDescent="0.2">
      <c r="A774" t="s">
        <v>3074</v>
      </c>
      <c r="B774" t="s">
        <v>1238</v>
      </c>
      <c r="C774" t="s">
        <v>1239</v>
      </c>
    </row>
    <row r="775" spans="1:3" x14ac:dyDescent="0.2">
      <c r="A775" t="s">
        <v>1267</v>
      </c>
      <c r="B775" t="s">
        <v>1238</v>
      </c>
      <c r="C775" t="s">
        <v>1239</v>
      </c>
    </row>
    <row r="776" spans="1:3" x14ac:dyDescent="0.2">
      <c r="A776" t="s">
        <v>1268</v>
      </c>
      <c r="B776" t="s">
        <v>1238</v>
      </c>
      <c r="C776" t="s">
        <v>1239</v>
      </c>
    </row>
    <row r="777" spans="1:3" x14ac:dyDescent="0.2">
      <c r="A777" t="s">
        <v>1269</v>
      </c>
      <c r="B777" t="s">
        <v>1238</v>
      </c>
      <c r="C777" t="s">
        <v>1239</v>
      </c>
    </row>
    <row r="778" spans="1:3" x14ac:dyDescent="0.2">
      <c r="A778" t="s">
        <v>6761</v>
      </c>
      <c r="B778" t="s">
        <v>1238</v>
      </c>
      <c r="C778" t="s">
        <v>1239</v>
      </c>
    </row>
    <row r="779" spans="1:3" x14ac:dyDescent="0.2">
      <c r="A779" t="s">
        <v>1270</v>
      </c>
      <c r="B779" t="s">
        <v>1238</v>
      </c>
      <c r="C779" t="s">
        <v>1239</v>
      </c>
    </row>
    <row r="780" spans="1:3" x14ac:dyDescent="0.2">
      <c r="A780" t="s">
        <v>1271</v>
      </c>
      <c r="B780" t="s">
        <v>1238</v>
      </c>
      <c r="C780" t="s">
        <v>1239</v>
      </c>
    </row>
    <row r="781" spans="1:3" x14ac:dyDescent="0.2">
      <c r="A781" t="s">
        <v>3075</v>
      </c>
      <c r="B781" t="s">
        <v>1238</v>
      </c>
      <c r="C781" t="s">
        <v>1273</v>
      </c>
    </row>
    <row r="782" spans="1:3" x14ac:dyDescent="0.2">
      <c r="A782" t="s">
        <v>3076</v>
      </c>
      <c r="B782" t="s">
        <v>1238</v>
      </c>
      <c r="C782" t="s">
        <v>1273</v>
      </c>
    </row>
    <row r="783" spans="1:3" x14ac:dyDescent="0.2">
      <c r="A783" t="s">
        <v>1272</v>
      </c>
      <c r="B783" t="s">
        <v>1238</v>
      </c>
      <c r="C783" t="s">
        <v>1273</v>
      </c>
    </row>
    <row r="784" spans="1:3" x14ac:dyDescent="0.2">
      <c r="A784" t="s">
        <v>1274</v>
      </c>
      <c r="B784" t="s">
        <v>1238</v>
      </c>
      <c r="C784" t="s">
        <v>1273</v>
      </c>
    </row>
    <row r="785" spans="1:3" x14ac:dyDescent="0.2">
      <c r="A785" t="s">
        <v>1275</v>
      </c>
      <c r="B785" t="s">
        <v>1238</v>
      </c>
      <c r="C785" t="s">
        <v>1273</v>
      </c>
    </row>
    <row r="786" spans="1:3" x14ac:dyDescent="0.2">
      <c r="A786" t="s">
        <v>1276</v>
      </c>
      <c r="B786" t="s">
        <v>1238</v>
      </c>
      <c r="C786" t="s">
        <v>1273</v>
      </c>
    </row>
    <row r="787" spans="1:3" x14ac:dyDescent="0.2">
      <c r="A787" t="s">
        <v>1277</v>
      </c>
      <c r="B787" t="s">
        <v>1238</v>
      </c>
      <c r="C787" t="s">
        <v>1273</v>
      </c>
    </row>
    <row r="788" spans="1:3" x14ac:dyDescent="0.2">
      <c r="A788" t="s">
        <v>1278</v>
      </c>
      <c r="B788" t="s">
        <v>1238</v>
      </c>
      <c r="C788" t="s">
        <v>1273</v>
      </c>
    </row>
    <row r="789" spans="1:3" x14ac:dyDescent="0.2">
      <c r="A789" t="s">
        <v>1279</v>
      </c>
      <c r="B789" t="s">
        <v>1238</v>
      </c>
      <c r="C789" t="s">
        <v>1273</v>
      </c>
    </row>
    <row r="790" spans="1:3" x14ac:dyDescent="0.2">
      <c r="A790" t="s">
        <v>1280</v>
      </c>
      <c r="B790" t="s">
        <v>1238</v>
      </c>
      <c r="C790" t="s">
        <v>1273</v>
      </c>
    </row>
    <row r="791" spans="1:3" x14ac:dyDescent="0.2">
      <c r="A791" t="s">
        <v>1281</v>
      </c>
      <c r="B791" t="s">
        <v>1238</v>
      </c>
      <c r="C791" t="s">
        <v>1273</v>
      </c>
    </row>
    <row r="792" spans="1:3" x14ac:dyDescent="0.2">
      <c r="A792" t="s">
        <v>1282</v>
      </c>
      <c r="B792" t="s">
        <v>1238</v>
      </c>
      <c r="C792" t="s">
        <v>1273</v>
      </c>
    </row>
    <row r="793" spans="1:3" x14ac:dyDescent="0.2">
      <c r="A793" t="s">
        <v>1283</v>
      </c>
      <c r="B793" t="s">
        <v>1238</v>
      </c>
      <c r="C793" t="s">
        <v>1273</v>
      </c>
    </row>
    <row r="794" spans="1:3" x14ac:dyDescent="0.2">
      <c r="A794" t="s">
        <v>3077</v>
      </c>
      <c r="B794" t="s">
        <v>1238</v>
      </c>
      <c r="C794" t="s">
        <v>1273</v>
      </c>
    </row>
    <row r="795" spans="1:3" x14ac:dyDescent="0.2">
      <c r="A795" t="s">
        <v>1284</v>
      </c>
      <c r="B795" t="s">
        <v>1238</v>
      </c>
      <c r="C795" t="s">
        <v>1273</v>
      </c>
    </row>
    <row r="796" spans="1:3" x14ac:dyDescent="0.2">
      <c r="A796" t="s">
        <v>1285</v>
      </c>
      <c r="B796" t="s">
        <v>1238</v>
      </c>
      <c r="C796" t="s">
        <v>1273</v>
      </c>
    </row>
    <row r="797" spans="1:3" x14ac:dyDescent="0.2">
      <c r="A797" t="s">
        <v>1286</v>
      </c>
      <c r="B797" t="s">
        <v>1238</v>
      </c>
      <c r="C797" t="s">
        <v>1273</v>
      </c>
    </row>
    <row r="798" spans="1:3" x14ac:dyDescent="0.2">
      <c r="A798" t="s">
        <v>1287</v>
      </c>
      <c r="B798" t="s">
        <v>1238</v>
      </c>
      <c r="C798" t="s">
        <v>1273</v>
      </c>
    </row>
    <row r="799" spans="1:3" x14ac:dyDescent="0.2">
      <c r="A799" t="s">
        <v>1288</v>
      </c>
      <c r="B799" t="s">
        <v>1238</v>
      </c>
      <c r="C799" t="s">
        <v>1273</v>
      </c>
    </row>
    <row r="800" spans="1:3" x14ac:dyDescent="0.2">
      <c r="A800" t="s">
        <v>1289</v>
      </c>
      <c r="B800" t="s">
        <v>1238</v>
      </c>
      <c r="C800" t="s">
        <v>1290</v>
      </c>
    </row>
    <row r="801" spans="1:3" x14ac:dyDescent="0.2">
      <c r="A801" t="s">
        <v>1291</v>
      </c>
      <c r="B801" t="s">
        <v>1238</v>
      </c>
      <c r="C801" t="s">
        <v>1290</v>
      </c>
    </row>
    <row r="802" spans="1:3" x14ac:dyDescent="0.2">
      <c r="A802" t="s">
        <v>3078</v>
      </c>
      <c r="B802" t="s">
        <v>1238</v>
      </c>
      <c r="C802" t="s">
        <v>1290</v>
      </c>
    </row>
    <row r="803" spans="1:3" x14ac:dyDescent="0.2">
      <c r="A803" t="s">
        <v>1292</v>
      </c>
      <c r="B803" t="s">
        <v>1238</v>
      </c>
      <c r="C803" t="s">
        <v>1290</v>
      </c>
    </row>
    <row r="804" spans="1:3" x14ac:dyDescent="0.2">
      <c r="A804" t="s">
        <v>1293</v>
      </c>
      <c r="B804" t="s">
        <v>1238</v>
      </c>
      <c r="C804" t="s">
        <v>1290</v>
      </c>
    </row>
    <row r="805" spans="1:3" x14ac:dyDescent="0.2">
      <c r="A805" t="s">
        <v>3079</v>
      </c>
      <c r="B805" t="s">
        <v>1238</v>
      </c>
      <c r="C805" t="s">
        <v>1290</v>
      </c>
    </row>
    <row r="806" spans="1:3" x14ac:dyDescent="0.2">
      <c r="A806" t="s">
        <v>1294</v>
      </c>
      <c r="B806" t="s">
        <v>1238</v>
      </c>
      <c r="C806" t="s">
        <v>1290</v>
      </c>
    </row>
    <row r="807" spans="1:3" x14ac:dyDescent="0.2">
      <c r="A807" t="s">
        <v>1295</v>
      </c>
      <c r="B807" t="s">
        <v>1238</v>
      </c>
      <c r="C807" t="s">
        <v>1290</v>
      </c>
    </row>
    <row r="808" spans="1:3" x14ac:dyDescent="0.2">
      <c r="A808" t="s">
        <v>1296</v>
      </c>
      <c r="B808" t="s">
        <v>1238</v>
      </c>
      <c r="C808" t="s">
        <v>1290</v>
      </c>
    </row>
    <row r="809" spans="1:3" x14ac:dyDescent="0.2">
      <c r="A809" t="s">
        <v>1297</v>
      </c>
      <c r="B809" t="s">
        <v>1238</v>
      </c>
      <c r="C809" t="s">
        <v>1290</v>
      </c>
    </row>
    <row r="810" spans="1:3" x14ac:dyDescent="0.2">
      <c r="A810" t="s">
        <v>1298</v>
      </c>
      <c r="B810" t="s">
        <v>1238</v>
      </c>
      <c r="C810" t="s">
        <v>1290</v>
      </c>
    </row>
    <row r="811" spans="1:3" x14ac:dyDescent="0.2">
      <c r="A811" t="s">
        <v>3080</v>
      </c>
      <c r="B811" t="s">
        <v>1238</v>
      </c>
      <c r="C811" t="s">
        <v>1290</v>
      </c>
    </row>
    <row r="812" spans="1:3" x14ac:dyDescent="0.2">
      <c r="A812" t="s">
        <v>1299</v>
      </c>
      <c r="B812" t="s">
        <v>1238</v>
      </c>
      <c r="C812" t="s">
        <v>1290</v>
      </c>
    </row>
    <row r="813" spans="1:3" x14ac:dyDescent="0.2">
      <c r="A813" t="s">
        <v>1300</v>
      </c>
      <c r="B813" t="s">
        <v>1301</v>
      </c>
      <c r="C813" t="s">
        <v>1302</v>
      </c>
    </row>
    <row r="814" spans="1:3" x14ac:dyDescent="0.2">
      <c r="A814" t="s">
        <v>3081</v>
      </c>
      <c r="B814" t="s">
        <v>1301</v>
      </c>
      <c r="C814" t="s">
        <v>1302</v>
      </c>
    </row>
    <row r="815" spans="1:3" x14ac:dyDescent="0.2">
      <c r="A815" t="s">
        <v>1303</v>
      </c>
      <c r="B815" t="s">
        <v>1301</v>
      </c>
      <c r="C815" t="s">
        <v>1302</v>
      </c>
    </row>
    <row r="816" spans="1:3" x14ac:dyDescent="0.2">
      <c r="A816" t="s">
        <v>1304</v>
      </c>
      <c r="B816" t="s">
        <v>1301</v>
      </c>
      <c r="C816" t="s">
        <v>1302</v>
      </c>
    </row>
    <row r="817" spans="1:3" x14ac:dyDescent="0.2">
      <c r="A817" t="s">
        <v>3082</v>
      </c>
      <c r="B817" t="s">
        <v>1301</v>
      </c>
      <c r="C817" t="s">
        <v>1302</v>
      </c>
    </row>
    <row r="818" spans="1:3" x14ac:dyDescent="0.2">
      <c r="A818" t="s">
        <v>1305</v>
      </c>
      <c r="B818" t="s">
        <v>1301</v>
      </c>
      <c r="C818" t="s">
        <v>1302</v>
      </c>
    </row>
    <row r="819" spans="1:3" x14ac:dyDescent="0.2">
      <c r="A819" t="s">
        <v>1306</v>
      </c>
      <c r="B819" t="s">
        <v>1301</v>
      </c>
      <c r="C819" t="s">
        <v>1302</v>
      </c>
    </row>
    <row r="820" spans="1:3" x14ac:dyDescent="0.2">
      <c r="A820" t="s">
        <v>1307</v>
      </c>
      <c r="B820" t="s">
        <v>1301</v>
      </c>
      <c r="C820" t="s">
        <v>1308</v>
      </c>
    </row>
    <row r="821" spans="1:3" x14ac:dyDescent="0.2">
      <c r="A821" t="s">
        <v>3083</v>
      </c>
      <c r="B821" t="s">
        <v>1310</v>
      </c>
      <c r="C821" t="s">
        <v>1311</v>
      </c>
    </row>
    <row r="822" spans="1:3" x14ac:dyDescent="0.2">
      <c r="A822" t="s">
        <v>3084</v>
      </c>
      <c r="B822" t="s">
        <v>1310</v>
      </c>
      <c r="C822" t="s">
        <v>1311</v>
      </c>
    </row>
    <row r="823" spans="1:3" x14ac:dyDescent="0.2">
      <c r="A823" t="s">
        <v>3085</v>
      </c>
      <c r="B823" t="s">
        <v>1310</v>
      </c>
      <c r="C823" t="s">
        <v>1311</v>
      </c>
    </row>
    <row r="824" spans="1:3" x14ac:dyDescent="0.2">
      <c r="A824" t="s">
        <v>1309</v>
      </c>
      <c r="B824" t="s">
        <v>1310</v>
      </c>
      <c r="C824" t="s">
        <v>1311</v>
      </c>
    </row>
    <row r="825" spans="1:3" x14ac:dyDescent="0.2">
      <c r="A825" t="s">
        <v>1312</v>
      </c>
      <c r="B825" t="s">
        <v>1310</v>
      </c>
      <c r="C825" t="s">
        <v>1311</v>
      </c>
    </row>
    <row r="826" spans="1:3" x14ac:dyDescent="0.2">
      <c r="A826" t="s">
        <v>1322</v>
      </c>
      <c r="B826" t="s">
        <v>1310</v>
      </c>
      <c r="C826" t="s">
        <v>1323</v>
      </c>
    </row>
    <row r="827" spans="1:3" x14ac:dyDescent="0.2">
      <c r="A827" t="s">
        <v>1320</v>
      </c>
      <c r="B827" t="s">
        <v>1310</v>
      </c>
      <c r="C827" t="s">
        <v>1321</v>
      </c>
    </row>
    <row r="828" spans="1:3" x14ac:dyDescent="0.2">
      <c r="A828" t="s">
        <v>1318</v>
      </c>
      <c r="B828" t="s">
        <v>1310</v>
      </c>
      <c r="C828" t="s">
        <v>1317</v>
      </c>
    </row>
    <row r="829" spans="1:3" x14ac:dyDescent="0.2">
      <c r="A829" t="s">
        <v>3086</v>
      </c>
      <c r="B829" t="s">
        <v>1310</v>
      </c>
      <c r="C829" t="s">
        <v>1317</v>
      </c>
    </row>
    <row r="830" spans="1:3" x14ac:dyDescent="0.2">
      <c r="A830" t="s">
        <v>4691</v>
      </c>
      <c r="B830" t="s">
        <v>1310</v>
      </c>
      <c r="C830" t="s">
        <v>1317</v>
      </c>
    </row>
    <row r="831" spans="1:3" x14ac:dyDescent="0.2">
      <c r="A831" t="s">
        <v>5126</v>
      </c>
      <c r="B831" t="s">
        <v>1310</v>
      </c>
      <c r="C831" t="s">
        <v>1317</v>
      </c>
    </row>
    <row r="832" spans="1:3" x14ac:dyDescent="0.2">
      <c r="A832" t="s">
        <v>3087</v>
      </c>
      <c r="B832" s="82" t="s">
        <v>7171</v>
      </c>
      <c r="C832" t="s">
        <v>1334</v>
      </c>
    </row>
    <row r="833" spans="1:3" x14ac:dyDescent="0.2">
      <c r="A833" t="s">
        <v>3088</v>
      </c>
      <c r="B833" s="82" t="s">
        <v>7171</v>
      </c>
      <c r="C833" t="s">
        <v>1334</v>
      </c>
    </row>
    <row r="834" spans="1:3" x14ac:dyDescent="0.2">
      <c r="A834" t="s">
        <v>3089</v>
      </c>
      <c r="B834" s="82" t="s">
        <v>7171</v>
      </c>
      <c r="C834" t="s">
        <v>1334</v>
      </c>
    </row>
    <row r="835" spans="1:3" x14ac:dyDescent="0.2">
      <c r="A835" t="s">
        <v>1333</v>
      </c>
      <c r="B835" s="82" t="s">
        <v>7171</v>
      </c>
      <c r="C835" t="s">
        <v>1334</v>
      </c>
    </row>
    <row r="836" spans="1:3" x14ac:dyDescent="0.2">
      <c r="A836" t="s">
        <v>1335</v>
      </c>
      <c r="B836" s="82" t="s">
        <v>7171</v>
      </c>
      <c r="C836" t="s">
        <v>1334</v>
      </c>
    </row>
    <row r="837" spans="1:3" x14ac:dyDescent="0.2">
      <c r="A837" t="s">
        <v>1336</v>
      </c>
      <c r="B837" s="82" t="s">
        <v>7171</v>
      </c>
      <c r="C837" t="s">
        <v>1337</v>
      </c>
    </row>
    <row r="838" spans="1:3" x14ac:dyDescent="0.2">
      <c r="A838" t="s">
        <v>5756</v>
      </c>
      <c r="B838" s="82" t="s">
        <v>7171</v>
      </c>
      <c r="C838" t="s">
        <v>1334</v>
      </c>
    </row>
    <row r="839" spans="1:3" x14ac:dyDescent="0.2">
      <c r="A839" t="s">
        <v>5757</v>
      </c>
      <c r="B839" s="82" t="s">
        <v>7171</v>
      </c>
      <c r="C839" t="s">
        <v>1334</v>
      </c>
    </row>
    <row r="840" spans="1:3" x14ac:dyDescent="0.2">
      <c r="A840" t="s">
        <v>3090</v>
      </c>
      <c r="B840" t="s">
        <v>1310</v>
      </c>
      <c r="C840" t="s">
        <v>1314</v>
      </c>
    </row>
    <row r="841" spans="1:3" x14ac:dyDescent="0.2">
      <c r="A841" t="s">
        <v>3091</v>
      </c>
      <c r="B841" t="s">
        <v>1310</v>
      </c>
      <c r="C841" t="s">
        <v>1314</v>
      </c>
    </row>
    <row r="842" spans="1:3" x14ac:dyDescent="0.2">
      <c r="A842" t="s">
        <v>1313</v>
      </c>
      <c r="B842" t="s">
        <v>1310</v>
      </c>
      <c r="C842" t="s">
        <v>1314</v>
      </c>
    </row>
    <row r="843" spans="1:3" x14ac:dyDescent="0.2">
      <c r="A843" t="s">
        <v>1315</v>
      </c>
      <c r="B843" t="s">
        <v>1310</v>
      </c>
      <c r="C843" t="s">
        <v>1314</v>
      </c>
    </row>
    <row r="844" spans="1:3" x14ac:dyDescent="0.2">
      <c r="A844" t="s">
        <v>1326</v>
      </c>
      <c r="B844" t="s">
        <v>1310</v>
      </c>
      <c r="C844" t="s">
        <v>1327</v>
      </c>
    </row>
    <row r="845" spans="1:3" x14ac:dyDescent="0.2">
      <c r="A845" t="s">
        <v>1324</v>
      </c>
      <c r="B845" t="s">
        <v>1310</v>
      </c>
      <c r="C845" t="s">
        <v>1325</v>
      </c>
    </row>
    <row r="846" spans="1:3" x14ac:dyDescent="0.2">
      <c r="A846" t="s">
        <v>6762</v>
      </c>
      <c r="B846" t="s">
        <v>1310</v>
      </c>
    </row>
    <row r="847" spans="1:3" x14ac:dyDescent="0.2">
      <c r="A847" t="s">
        <v>3092</v>
      </c>
      <c r="B847" t="s">
        <v>1310</v>
      </c>
      <c r="C847" t="s">
        <v>1317</v>
      </c>
    </row>
    <row r="848" spans="1:3" x14ac:dyDescent="0.2">
      <c r="A848" t="s">
        <v>3093</v>
      </c>
      <c r="B848" t="s">
        <v>1310</v>
      </c>
      <c r="C848" t="s">
        <v>1317</v>
      </c>
    </row>
    <row r="849" spans="1:3" x14ac:dyDescent="0.2">
      <c r="A849" t="s">
        <v>1319</v>
      </c>
      <c r="B849" t="s">
        <v>1310</v>
      </c>
      <c r="C849" t="s">
        <v>1317</v>
      </c>
    </row>
    <row r="850" spans="1:3" x14ac:dyDescent="0.2">
      <c r="A850" t="s">
        <v>6763</v>
      </c>
      <c r="B850" t="s">
        <v>1310</v>
      </c>
      <c r="C850" t="s">
        <v>1317</v>
      </c>
    </row>
    <row r="851" spans="1:3" x14ac:dyDescent="0.2">
      <c r="A851" t="s">
        <v>6764</v>
      </c>
      <c r="B851" t="s">
        <v>1310</v>
      </c>
      <c r="C851" t="s">
        <v>1317</v>
      </c>
    </row>
    <row r="852" spans="1:3" x14ac:dyDescent="0.2">
      <c r="A852" t="s">
        <v>6765</v>
      </c>
      <c r="B852" t="s">
        <v>1310</v>
      </c>
      <c r="C852" t="s">
        <v>1317</v>
      </c>
    </row>
    <row r="853" spans="1:3" x14ac:dyDescent="0.2">
      <c r="A853" t="s">
        <v>3094</v>
      </c>
      <c r="B853" t="s">
        <v>1310</v>
      </c>
      <c r="C853" t="s">
        <v>1317</v>
      </c>
    </row>
    <row r="854" spans="1:3" x14ac:dyDescent="0.2">
      <c r="A854" t="s">
        <v>1316</v>
      </c>
      <c r="B854" t="s">
        <v>1310</v>
      </c>
      <c r="C854" t="s">
        <v>1317</v>
      </c>
    </row>
    <row r="855" spans="1:3" x14ac:dyDescent="0.2">
      <c r="A855" t="s">
        <v>1328</v>
      </c>
      <c r="B855" t="s">
        <v>1310</v>
      </c>
      <c r="C855" t="s">
        <v>1329</v>
      </c>
    </row>
    <row r="856" spans="1:3" x14ac:dyDescent="0.2">
      <c r="A856" t="s">
        <v>3095</v>
      </c>
      <c r="B856" t="s">
        <v>1339</v>
      </c>
      <c r="C856" t="s">
        <v>1340</v>
      </c>
    </row>
    <row r="857" spans="1:3" x14ac:dyDescent="0.2">
      <c r="A857" t="s">
        <v>3096</v>
      </c>
      <c r="B857" t="s">
        <v>1339</v>
      </c>
      <c r="C857" t="s">
        <v>1340</v>
      </c>
    </row>
    <row r="858" spans="1:3" x14ac:dyDescent="0.2">
      <c r="A858" t="s">
        <v>3097</v>
      </c>
      <c r="B858" t="s">
        <v>1339</v>
      </c>
      <c r="C858" t="s">
        <v>1340</v>
      </c>
    </row>
    <row r="859" spans="1:3" x14ac:dyDescent="0.2">
      <c r="A859" t="s">
        <v>3098</v>
      </c>
      <c r="B859" t="s">
        <v>1339</v>
      </c>
      <c r="C859" t="s">
        <v>1340</v>
      </c>
    </row>
    <row r="860" spans="1:3" x14ac:dyDescent="0.2">
      <c r="A860" t="s">
        <v>1338</v>
      </c>
      <c r="B860" t="s">
        <v>1339</v>
      </c>
      <c r="C860" t="s">
        <v>1340</v>
      </c>
    </row>
    <row r="861" spans="1:3" x14ac:dyDescent="0.2">
      <c r="A861" t="s">
        <v>1341</v>
      </c>
      <c r="B861" t="s">
        <v>1339</v>
      </c>
      <c r="C861" t="s">
        <v>1340</v>
      </c>
    </row>
    <row r="862" spans="1:3" x14ac:dyDescent="0.2">
      <c r="A862" t="s">
        <v>5107</v>
      </c>
      <c r="B862" t="s">
        <v>1339</v>
      </c>
      <c r="C862" t="s">
        <v>1340</v>
      </c>
    </row>
    <row r="863" spans="1:3" x14ac:dyDescent="0.2">
      <c r="A863" t="s">
        <v>5108</v>
      </c>
      <c r="B863" t="s">
        <v>1339</v>
      </c>
      <c r="C863" t="s">
        <v>1340</v>
      </c>
    </row>
    <row r="864" spans="1:3" x14ac:dyDescent="0.2">
      <c r="A864" t="s">
        <v>5109</v>
      </c>
      <c r="B864" t="s">
        <v>1339</v>
      </c>
      <c r="C864" t="s">
        <v>1340</v>
      </c>
    </row>
    <row r="865" spans="1:3" x14ac:dyDescent="0.2">
      <c r="A865" t="s">
        <v>5110</v>
      </c>
      <c r="B865" t="s">
        <v>1339</v>
      </c>
      <c r="C865" t="s">
        <v>1340</v>
      </c>
    </row>
    <row r="866" spans="1:3" x14ac:dyDescent="0.2">
      <c r="A866" t="s">
        <v>5259</v>
      </c>
      <c r="B866" t="s">
        <v>1339</v>
      </c>
      <c r="C866" t="s">
        <v>1340</v>
      </c>
    </row>
    <row r="867" spans="1:3" x14ac:dyDescent="0.2">
      <c r="A867" t="s">
        <v>5948</v>
      </c>
      <c r="B867" t="s">
        <v>1339</v>
      </c>
      <c r="C867" t="s">
        <v>1340</v>
      </c>
    </row>
    <row r="868" spans="1:3" x14ac:dyDescent="0.2">
      <c r="A868" t="s">
        <v>5949</v>
      </c>
      <c r="B868" t="s">
        <v>1339</v>
      </c>
      <c r="C868" t="s">
        <v>1340</v>
      </c>
    </row>
    <row r="869" spans="1:3" x14ac:dyDescent="0.2">
      <c r="A869" t="s">
        <v>3099</v>
      </c>
      <c r="B869" t="s">
        <v>1339</v>
      </c>
      <c r="C869" t="s">
        <v>1343</v>
      </c>
    </row>
    <row r="870" spans="1:3" x14ac:dyDescent="0.2">
      <c r="A870" t="s">
        <v>6385</v>
      </c>
      <c r="B870" t="s">
        <v>1339</v>
      </c>
      <c r="C870" t="s">
        <v>1343</v>
      </c>
    </row>
    <row r="871" spans="1:3" x14ac:dyDescent="0.2">
      <c r="A871" t="s">
        <v>5828</v>
      </c>
      <c r="B871" t="s">
        <v>1339</v>
      </c>
      <c r="C871" t="s">
        <v>1343</v>
      </c>
    </row>
    <row r="872" spans="1:3" x14ac:dyDescent="0.2">
      <c r="A872" t="s">
        <v>6386</v>
      </c>
      <c r="B872" t="s">
        <v>1339</v>
      </c>
      <c r="C872" t="s">
        <v>1343</v>
      </c>
    </row>
    <row r="873" spans="1:3" x14ac:dyDescent="0.2">
      <c r="A873" t="s">
        <v>3100</v>
      </c>
      <c r="B873" t="s">
        <v>1339</v>
      </c>
      <c r="C873" t="s">
        <v>1343</v>
      </c>
    </row>
    <row r="874" spans="1:3" x14ac:dyDescent="0.2">
      <c r="A874" t="s">
        <v>3101</v>
      </c>
      <c r="B874" t="s">
        <v>1339</v>
      </c>
      <c r="C874" t="s">
        <v>1343</v>
      </c>
    </row>
    <row r="875" spans="1:3" x14ac:dyDescent="0.2">
      <c r="A875" t="s">
        <v>6387</v>
      </c>
      <c r="B875" t="s">
        <v>1339</v>
      </c>
      <c r="C875" t="s">
        <v>1343</v>
      </c>
    </row>
    <row r="876" spans="1:3" x14ac:dyDescent="0.2">
      <c r="A876" t="s">
        <v>6388</v>
      </c>
      <c r="B876" t="s">
        <v>1339</v>
      </c>
      <c r="C876" t="s">
        <v>1343</v>
      </c>
    </row>
    <row r="877" spans="1:3" x14ac:dyDescent="0.2">
      <c r="A877" t="s">
        <v>6389</v>
      </c>
      <c r="B877" t="s">
        <v>1339</v>
      </c>
      <c r="C877" t="s">
        <v>1343</v>
      </c>
    </row>
    <row r="878" spans="1:3" x14ac:dyDescent="0.2">
      <c r="A878" t="s">
        <v>3102</v>
      </c>
      <c r="B878" t="s">
        <v>1339</v>
      </c>
      <c r="C878" t="s">
        <v>1343</v>
      </c>
    </row>
    <row r="879" spans="1:3" x14ac:dyDescent="0.2">
      <c r="A879" t="s">
        <v>6390</v>
      </c>
      <c r="B879" t="s">
        <v>1339</v>
      </c>
      <c r="C879" t="s">
        <v>1343</v>
      </c>
    </row>
    <row r="880" spans="1:3" x14ac:dyDescent="0.2">
      <c r="A880" t="s">
        <v>6391</v>
      </c>
      <c r="B880" t="s">
        <v>1339</v>
      </c>
      <c r="C880" t="s">
        <v>1343</v>
      </c>
    </row>
    <row r="881" spans="1:3" x14ac:dyDescent="0.2">
      <c r="A881" t="s">
        <v>3103</v>
      </c>
      <c r="B881" t="s">
        <v>1339</v>
      </c>
      <c r="C881" t="s">
        <v>1343</v>
      </c>
    </row>
    <row r="882" spans="1:3" x14ac:dyDescent="0.2">
      <c r="A882" t="s">
        <v>3104</v>
      </c>
      <c r="B882" t="s">
        <v>1339</v>
      </c>
      <c r="C882" t="s">
        <v>1343</v>
      </c>
    </row>
    <row r="883" spans="1:3" x14ac:dyDescent="0.2">
      <c r="A883" t="s">
        <v>3105</v>
      </c>
      <c r="B883" t="s">
        <v>1339</v>
      </c>
      <c r="C883" t="s">
        <v>1343</v>
      </c>
    </row>
    <row r="884" spans="1:3" x14ac:dyDescent="0.2">
      <c r="A884" t="s">
        <v>3106</v>
      </c>
      <c r="B884" t="s">
        <v>1339</v>
      </c>
      <c r="C884" t="s">
        <v>1343</v>
      </c>
    </row>
    <row r="885" spans="1:3" x14ac:dyDescent="0.2">
      <c r="A885" t="s">
        <v>3107</v>
      </c>
      <c r="B885" t="s">
        <v>1339</v>
      </c>
      <c r="C885" t="s">
        <v>1343</v>
      </c>
    </row>
    <row r="886" spans="1:3" x14ac:dyDescent="0.2">
      <c r="A886" t="s">
        <v>3108</v>
      </c>
      <c r="B886" t="s">
        <v>1339</v>
      </c>
      <c r="C886" t="s">
        <v>1343</v>
      </c>
    </row>
    <row r="887" spans="1:3" x14ac:dyDescent="0.2">
      <c r="A887" t="s">
        <v>3109</v>
      </c>
      <c r="B887" t="s">
        <v>1339</v>
      </c>
      <c r="C887" t="s">
        <v>1343</v>
      </c>
    </row>
    <row r="888" spans="1:3" x14ac:dyDescent="0.2">
      <c r="A888" t="s">
        <v>3110</v>
      </c>
      <c r="B888" t="s">
        <v>1339</v>
      </c>
      <c r="C888" t="s">
        <v>1343</v>
      </c>
    </row>
    <row r="889" spans="1:3" x14ac:dyDescent="0.2">
      <c r="A889" t="s">
        <v>3111</v>
      </c>
      <c r="B889" t="s">
        <v>1339</v>
      </c>
      <c r="C889" t="s">
        <v>1343</v>
      </c>
    </row>
    <row r="890" spans="1:3" x14ac:dyDescent="0.2">
      <c r="A890" t="s">
        <v>3112</v>
      </c>
      <c r="B890" t="s">
        <v>1339</v>
      </c>
      <c r="C890" t="s">
        <v>1343</v>
      </c>
    </row>
    <row r="891" spans="1:3" x14ac:dyDescent="0.2">
      <c r="A891" t="s">
        <v>3113</v>
      </c>
      <c r="B891" t="s">
        <v>1339</v>
      </c>
      <c r="C891" t="s">
        <v>1343</v>
      </c>
    </row>
    <row r="892" spans="1:3" x14ac:dyDescent="0.2">
      <c r="A892" t="s">
        <v>3114</v>
      </c>
      <c r="B892" t="s">
        <v>1339</v>
      </c>
      <c r="C892" t="s">
        <v>1343</v>
      </c>
    </row>
    <row r="893" spans="1:3" x14ac:dyDescent="0.2">
      <c r="A893" t="s">
        <v>3115</v>
      </c>
      <c r="B893" t="s">
        <v>1339</v>
      </c>
      <c r="C893" t="s">
        <v>1343</v>
      </c>
    </row>
    <row r="894" spans="1:3" x14ac:dyDescent="0.2">
      <c r="A894" t="s">
        <v>3116</v>
      </c>
      <c r="B894" t="s">
        <v>1339</v>
      </c>
      <c r="C894" t="s">
        <v>1343</v>
      </c>
    </row>
    <row r="895" spans="1:3" x14ac:dyDescent="0.2">
      <c r="A895" t="s">
        <v>3117</v>
      </c>
      <c r="B895" t="s">
        <v>1339</v>
      </c>
      <c r="C895" t="s">
        <v>1343</v>
      </c>
    </row>
    <row r="896" spans="1:3" x14ac:dyDescent="0.2">
      <c r="A896" t="s">
        <v>3118</v>
      </c>
      <c r="B896" t="s">
        <v>1339</v>
      </c>
      <c r="C896" t="s">
        <v>1343</v>
      </c>
    </row>
    <row r="897" spans="1:3" x14ac:dyDescent="0.2">
      <c r="A897" t="s">
        <v>3119</v>
      </c>
      <c r="B897" t="s">
        <v>1339</v>
      </c>
      <c r="C897" t="s">
        <v>1343</v>
      </c>
    </row>
    <row r="898" spans="1:3" x14ac:dyDescent="0.2">
      <c r="A898" t="s">
        <v>3120</v>
      </c>
      <c r="B898" t="s">
        <v>1339</v>
      </c>
      <c r="C898" t="s">
        <v>1343</v>
      </c>
    </row>
    <row r="899" spans="1:3" x14ac:dyDescent="0.2">
      <c r="A899" t="s">
        <v>3121</v>
      </c>
      <c r="B899" t="s">
        <v>1339</v>
      </c>
      <c r="C899" t="s">
        <v>1343</v>
      </c>
    </row>
    <row r="900" spans="1:3" x14ac:dyDescent="0.2">
      <c r="A900" t="s">
        <v>3122</v>
      </c>
      <c r="B900" t="s">
        <v>1339</v>
      </c>
      <c r="C900" t="s">
        <v>1343</v>
      </c>
    </row>
    <row r="901" spans="1:3" x14ac:dyDescent="0.2">
      <c r="A901" t="s">
        <v>3123</v>
      </c>
      <c r="B901" t="s">
        <v>1339</v>
      </c>
      <c r="C901" t="s">
        <v>1343</v>
      </c>
    </row>
    <row r="902" spans="1:3" x14ac:dyDescent="0.2">
      <c r="A902" t="s">
        <v>3124</v>
      </c>
      <c r="B902" t="s">
        <v>1339</v>
      </c>
      <c r="C902" t="s">
        <v>1343</v>
      </c>
    </row>
    <row r="903" spans="1:3" x14ac:dyDescent="0.2">
      <c r="A903" t="s">
        <v>3125</v>
      </c>
      <c r="B903" t="s">
        <v>1339</v>
      </c>
      <c r="C903" t="s">
        <v>1343</v>
      </c>
    </row>
    <row r="904" spans="1:3" x14ac:dyDescent="0.2">
      <c r="A904" t="s">
        <v>3126</v>
      </c>
      <c r="B904" t="s">
        <v>1339</v>
      </c>
      <c r="C904" t="s">
        <v>1343</v>
      </c>
    </row>
    <row r="905" spans="1:3" x14ac:dyDescent="0.2">
      <c r="A905" t="s">
        <v>3127</v>
      </c>
      <c r="B905" t="s">
        <v>1339</v>
      </c>
      <c r="C905" t="s">
        <v>1343</v>
      </c>
    </row>
    <row r="906" spans="1:3" x14ac:dyDescent="0.2">
      <c r="A906" t="s">
        <v>3128</v>
      </c>
      <c r="B906" t="s">
        <v>1339</v>
      </c>
      <c r="C906" t="s">
        <v>1343</v>
      </c>
    </row>
    <row r="907" spans="1:3" x14ac:dyDescent="0.2">
      <c r="A907" t="s">
        <v>3129</v>
      </c>
      <c r="B907" t="s">
        <v>1339</v>
      </c>
      <c r="C907" t="s">
        <v>1343</v>
      </c>
    </row>
    <row r="908" spans="1:3" x14ac:dyDescent="0.2">
      <c r="A908" t="s">
        <v>3130</v>
      </c>
      <c r="B908" t="s">
        <v>1339</v>
      </c>
      <c r="C908" t="s">
        <v>1343</v>
      </c>
    </row>
    <row r="909" spans="1:3" x14ac:dyDescent="0.2">
      <c r="A909" t="s">
        <v>3131</v>
      </c>
      <c r="B909" t="s">
        <v>1339</v>
      </c>
      <c r="C909" t="s">
        <v>1343</v>
      </c>
    </row>
    <row r="910" spans="1:3" x14ac:dyDescent="0.2">
      <c r="A910" t="s">
        <v>3132</v>
      </c>
      <c r="B910" t="s">
        <v>1339</v>
      </c>
      <c r="C910" t="s">
        <v>1343</v>
      </c>
    </row>
    <row r="911" spans="1:3" x14ac:dyDescent="0.2">
      <c r="A911" t="s">
        <v>3133</v>
      </c>
      <c r="B911" t="s">
        <v>1339</v>
      </c>
      <c r="C911" t="s">
        <v>1343</v>
      </c>
    </row>
    <row r="912" spans="1:3" x14ac:dyDescent="0.2">
      <c r="A912" t="s">
        <v>3134</v>
      </c>
      <c r="B912" t="s">
        <v>1339</v>
      </c>
      <c r="C912" t="s">
        <v>1343</v>
      </c>
    </row>
    <row r="913" spans="1:3" x14ac:dyDescent="0.2">
      <c r="A913" t="s">
        <v>3135</v>
      </c>
      <c r="B913" t="s">
        <v>1339</v>
      </c>
      <c r="C913" t="s">
        <v>1343</v>
      </c>
    </row>
    <row r="914" spans="1:3" x14ac:dyDescent="0.2">
      <c r="A914" t="s">
        <v>3136</v>
      </c>
      <c r="B914" t="s">
        <v>1339</v>
      </c>
      <c r="C914" t="s">
        <v>1343</v>
      </c>
    </row>
    <row r="915" spans="1:3" x14ac:dyDescent="0.2">
      <c r="A915" t="s">
        <v>3137</v>
      </c>
      <c r="B915" t="s">
        <v>1339</v>
      </c>
      <c r="C915" t="s">
        <v>1343</v>
      </c>
    </row>
    <row r="916" spans="1:3" x14ac:dyDescent="0.2">
      <c r="A916" t="s">
        <v>3138</v>
      </c>
      <c r="B916" t="s">
        <v>1339</v>
      </c>
      <c r="C916" t="s">
        <v>1343</v>
      </c>
    </row>
    <row r="917" spans="1:3" x14ac:dyDescent="0.2">
      <c r="A917" t="s">
        <v>3139</v>
      </c>
      <c r="B917" t="s">
        <v>1339</v>
      </c>
      <c r="C917" t="s">
        <v>1343</v>
      </c>
    </row>
    <row r="918" spans="1:3" x14ac:dyDescent="0.2">
      <c r="A918" t="s">
        <v>3140</v>
      </c>
      <c r="B918" t="s">
        <v>1339</v>
      </c>
      <c r="C918" t="s">
        <v>1343</v>
      </c>
    </row>
    <row r="919" spans="1:3" x14ac:dyDescent="0.2">
      <c r="A919" t="s">
        <v>3141</v>
      </c>
      <c r="B919" t="s">
        <v>1339</v>
      </c>
      <c r="C919" t="s">
        <v>1343</v>
      </c>
    </row>
    <row r="920" spans="1:3" x14ac:dyDescent="0.2">
      <c r="A920" t="s">
        <v>3142</v>
      </c>
      <c r="B920" t="s">
        <v>1339</v>
      </c>
      <c r="C920" t="s">
        <v>1343</v>
      </c>
    </row>
    <row r="921" spans="1:3" x14ac:dyDescent="0.2">
      <c r="A921" t="s">
        <v>3143</v>
      </c>
      <c r="B921" t="s">
        <v>1339</v>
      </c>
      <c r="C921" t="s">
        <v>1343</v>
      </c>
    </row>
    <row r="922" spans="1:3" x14ac:dyDescent="0.2">
      <c r="A922" t="s">
        <v>3144</v>
      </c>
      <c r="B922" t="s">
        <v>1339</v>
      </c>
      <c r="C922" t="s">
        <v>1343</v>
      </c>
    </row>
    <row r="923" spans="1:3" x14ac:dyDescent="0.2">
      <c r="A923" t="s">
        <v>3145</v>
      </c>
      <c r="B923" t="s">
        <v>1339</v>
      </c>
      <c r="C923" t="s">
        <v>1343</v>
      </c>
    </row>
    <row r="924" spans="1:3" x14ac:dyDescent="0.2">
      <c r="A924" t="s">
        <v>3146</v>
      </c>
      <c r="B924" t="s">
        <v>1339</v>
      </c>
      <c r="C924" t="s">
        <v>1343</v>
      </c>
    </row>
    <row r="925" spans="1:3" x14ac:dyDescent="0.2">
      <c r="A925" t="s">
        <v>3147</v>
      </c>
      <c r="B925" t="s">
        <v>1339</v>
      </c>
      <c r="C925" t="s">
        <v>1343</v>
      </c>
    </row>
    <row r="926" spans="1:3" x14ac:dyDescent="0.2">
      <c r="A926" t="s">
        <v>3148</v>
      </c>
      <c r="B926" t="s">
        <v>1339</v>
      </c>
      <c r="C926" t="s">
        <v>1343</v>
      </c>
    </row>
    <row r="927" spans="1:3" x14ac:dyDescent="0.2">
      <c r="A927" t="s">
        <v>3149</v>
      </c>
      <c r="B927" t="s">
        <v>1339</v>
      </c>
      <c r="C927" t="s">
        <v>1343</v>
      </c>
    </row>
    <row r="928" spans="1:3" x14ac:dyDescent="0.2">
      <c r="A928" t="s">
        <v>3150</v>
      </c>
      <c r="B928" t="s">
        <v>1339</v>
      </c>
      <c r="C928" t="s">
        <v>1343</v>
      </c>
    </row>
    <row r="929" spans="1:3" x14ac:dyDescent="0.2">
      <c r="A929" t="s">
        <v>3151</v>
      </c>
      <c r="B929" t="s">
        <v>1339</v>
      </c>
      <c r="C929" t="s">
        <v>1343</v>
      </c>
    </row>
    <row r="930" spans="1:3" x14ac:dyDescent="0.2">
      <c r="A930" t="s">
        <v>3152</v>
      </c>
      <c r="B930" t="s">
        <v>1339</v>
      </c>
      <c r="C930" t="s">
        <v>1343</v>
      </c>
    </row>
    <row r="931" spans="1:3" x14ac:dyDescent="0.2">
      <c r="A931" t="s">
        <v>3153</v>
      </c>
      <c r="B931" t="s">
        <v>1339</v>
      </c>
      <c r="C931" t="s">
        <v>1343</v>
      </c>
    </row>
    <row r="932" spans="1:3" x14ac:dyDescent="0.2">
      <c r="A932" t="s">
        <v>3154</v>
      </c>
      <c r="B932" t="s">
        <v>1339</v>
      </c>
      <c r="C932" t="s">
        <v>1343</v>
      </c>
    </row>
    <row r="933" spans="1:3" x14ac:dyDescent="0.2">
      <c r="A933" t="s">
        <v>3155</v>
      </c>
      <c r="B933" t="s">
        <v>1339</v>
      </c>
      <c r="C933" t="s">
        <v>1343</v>
      </c>
    </row>
    <row r="934" spans="1:3" x14ac:dyDescent="0.2">
      <c r="A934" t="s">
        <v>3156</v>
      </c>
      <c r="B934" t="s">
        <v>1339</v>
      </c>
      <c r="C934" t="s">
        <v>1343</v>
      </c>
    </row>
    <row r="935" spans="1:3" x14ac:dyDescent="0.2">
      <c r="A935" t="s">
        <v>3157</v>
      </c>
      <c r="B935" t="s">
        <v>1339</v>
      </c>
      <c r="C935" t="s">
        <v>1343</v>
      </c>
    </row>
    <row r="936" spans="1:3" x14ac:dyDescent="0.2">
      <c r="A936" t="s">
        <v>3158</v>
      </c>
      <c r="B936" t="s">
        <v>1339</v>
      </c>
      <c r="C936" t="s">
        <v>1343</v>
      </c>
    </row>
    <row r="937" spans="1:3" x14ac:dyDescent="0.2">
      <c r="A937" t="s">
        <v>3159</v>
      </c>
      <c r="B937" t="s">
        <v>1339</v>
      </c>
      <c r="C937" t="s">
        <v>1343</v>
      </c>
    </row>
    <row r="938" spans="1:3" x14ac:dyDescent="0.2">
      <c r="A938" t="s">
        <v>3160</v>
      </c>
      <c r="B938" t="s">
        <v>1339</v>
      </c>
      <c r="C938" t="s">
        <v>1343</v>
      </c>
    </row>
    <row r="939" spans="1:3" x14ac:dyDescent="0.2">
      <c r="A939" t="s">
        <v>3161</v>
      </c>
      <c r="B939" t="s">
        <v>1339</v>
      </c>
      <c r="C939" t="s">
        <v>1343</v>
      </c>
    </row>
    <row r="940" spans="1:3" x14ac:dyDescent="0.2">
      <c r="A940" t="s">
        <v>3162</v>
      </c>
      <c r="B940" t="s">
        <v>1339</v>
      </c>
      <c r="C940" t="s">
        <v>1343</v>
      </c>
    </row>
    <row r="941" spans="1:3" x14ac:dyDescent="0.2">
      <c r="A941" t="s">
        <v>3163</v>
      </c>
      <c r="B941" t="s">
        <v>1339</v>
      </c>
      <c r="C941" t="s">
        <v>1343</v>
      </c>
    </row>
    <row r="942" spans="1:3" x14ac:dyDescent="0.2">
      <c r="A942" t="s">
        <v>3164</v>
      </c>
      <c r="B942" t="s">
        <v>1339</v>
      </c>
      <c r="C942" t="s">
        <v>1343</v>
      </c>
    </row>
    <row r="943" spans="1:3" x14ac:dyDescent="0.2">
      <c r="A943" t="s">
        <v>3165</v>
      </c>
      <c r="B943" t="s">
        <v>1339</v>
      </c>
      <c r="C943" t="s">
        <v>1343</v>
      </c>
    </row>
    <row r="944" spans="1:3" x14ac:dyDescent="0.2">
      <c r="A944" t="s">
        <v>3166</v>
      </c>
      <c r="B944" t="s">
        <v>1339</v>
      </c>
      <c r="C944" t="s">
        <v>1343</v>
      </c>
    </row>
    <row r="945" spans="1:3" x14ac:dyDescent="0.2">
      <c r="A945" t="s">
        <v>3167</v>
      </c>
      <c r="B945" t="s">
        <v>1339</v>
      </c>
      <c r="C945" t="s">
        <v>1343</v>
      </c>
    </row>
    <row r="946" spans="1:3" x14ac:dyDescent="0.2">
      <c r="A946" t="s">
        <v>3168</v>
      </c>
      <c r="B946" t="s">
        <v>1339</v>
      </c>
      <c r="C946" t="s">
        <v>1343</v>
      </c>
    </row>
    <row r="947" spans="1:3" x14ac:dyDescent="0.2">
      <c r="A947" t="s">
        <v>3169</v>
      </c>
      <c r="B947" t="s">
        <v>1339</v>
      </c>
      <c r="C947" t="s">
        <v>1343</v>
      </c>
    </row>
    <row r="948" spans="1:3" x14ac:dyDescent="0.2">
      <c r="A948" t="s">
        <v>3170</v>
      </c>
      <c r="B948" t="s">
        <v>1339</v>
      </c>
      <c r="C948" t="s">
        <v>1343</v>
      </c>
    </row>
    <row r="949" spans="1:3" x14ac:dyDescent="0.2">
      <c r="A949" t="s">
        <v>3171</v>
      </c>
      <c r="B949" t="s">
        <v>1339</v>
      </c>
      <c r="C949" t="s">
        <v>1343</v>
      </c>
    </row>
    <row r="950" spans="1:3" x14ac:dyDescent="0.2">
      <c r="A950" t="s">
        <v>3172</v>
      </c>
      <c r="B950" t="s">
        <v>1339</v>
      </c>
      <c r="C950" t="s">
        <v>1343</v>
      </c>
    </row>
    <row r="951" spans="1:3" x14ac:dyDescent="0.2">
      <c r="A951" t="s">
        <v>3173</v>
      </c>
      <c r="B951" t="s">
        <v>1339</v>
      </c>
      <c r="C951" t="s">
        <v>1343</v>
      </c>
    </row>
    <row r="952" spans="1:3" x14ac:dyDescent="0.2">
      <c r="A952" t="s">
        <v>3174</v>
      </c>
      <c r="B952" t="s">
        <v>1339</v>
      </c>
      <c r="C952" t="s">
        <v>1343</v>
      </c>
    </row>
    <row r="953" spans="1:3" x14ac:dyDescent="0.2">
      <c r="A953" t="s">
        <v>3175</v>
      </c>
      <c r="B953" t="s">
        <v>1339</v>
      </c>
      <c r="C953" t="s">
        <v>1343</v>
      </c>
    </row>
    <row r="954" spans="1:3" x14ac:dyDescent="0.2">
      <c r="A954" t="s">
        <v>3176</v>
      </c>
      <c r="B954" t="s">
        <v>1339</v>
      </c>
      <c r="C954" t="s">
        <v>1343</v>
      </c>
    </row>
    <row r="955" spans="1:3" x14ac:dyDescent="0.2">
      <c r="A955" t="s">
        <v>3177</v>
      </c>
      <c r="B955" t="s">
        <v>1339</v>
      </c>
      <c r="C955" t="s">
        <v>1343</v>
      </c>
    </row>
    <row r="956" spans="1:3" x14ac:dyDescent="0.2">
      <c r="A956" t="s">
        <v>3178</v>
      </c>
      <c r="B956" t="s">
        <v>1339</v>
      </c>
      <c r="C956" t="s">
        <v>1343</v>
      </c>
    </row>
    <row r="957" spans="1:3" x14ac:dyDescent="0.2">
      <c r="A957" t="s">
        <v>3179</v>
      </c>
      <c r="B957" t="s">
        <v>1339</v>
      </c>
      <c r="C957" t="s">
        <v>1343</v>
      </c>
    </row>
    <row r="958" spans="1:3" x14ac:dyDescent="0.2">
      <c r="A958" t="s">
        <v>3180</v>
      </c>
      <c r="B958" t="s">
        <v>1339</v>
      </c>
      <c r="C958" t="s">
        <v>1343</v>
      </c>
    </row>
    <row r="959" spans="1:3" x14ac:dyDescent="0.2">
      <c r="A959" t="s">
        <v>3181</v>
      </c>
      <c r="B959" t="s">
        <v>1339</v>
      </c>
      <c r="C959" t="s">
        <v>1343</v>
      </c>
    </row>
    <row r="960" spans="1:3" x14ac:dyDescent="0.2">
      <c r="A960" t="s">
        <v>3182</v>
      </c>
      <c r="B960" t="s">
        <v>1339</v>
      </c>
      <c r="C960" t="s">
        <v>1343</v>
      </c>
    </row>
    <row r="961" spans="1:3" x14ac:dyDescent="0.2">
      <c r="A961" t="s">
        <v>3183</v>
      </c>
      <c r="B961" t="s">
        <v>1339</v>
      </c>
      <c r="C961" t="s">
        <v>1343</v>
      </c>
    </row>
    <row r="962" spans="1:3" x14ac:dyDescent="0.2">
      <c r="A962" t="s">
        <v>3184</v>
      </c>
      <c r="B962" t="s">
        <v>1339</v>
      </c>
      <c r="C962" t="s">
        <v>1343</v>
      </c>
    </row>
    <row r="963" spans="1:3" x14ac:dyDescent="0.2">
      <c r="A963" t="s">
        <v>3185</v>
      </c>
      <c r="B963" t="s">
        <v>1339</v>
      </c>
      <c r="C963" t="s">
        <v>1343</v>
      </c>
    </row>
    <row r="964" spans="1:3" x14ac:dyDescent="0.2">
      <c r="A964" t="s">
        <v>3186</v>
      </c>
      <c r="B964" t="s">
        <v>1339</v>
      </c>
      <c r="C964" t="s">
        <v>1343</v>
      </c>
    </row>
    <row r="965" spans="1:3" x14ac:dyDescent="0.2">
      <c r="A965" t="s">
        <v>3187</v>
      </c>
      <c r="B965" t="s">
        <v>1339</v>
      </c>
      <c r="C965" t="s">
        <v>1343</v>
      </c>
    </row>
    <row r="966" spans="1:3" x14ac:dyDescent="0.2">
      <c r="A966" t="s">
        <v>3188</v>
      </c>
      <c r="B966" t="s">
        <v>1339</v>
      </c>
      <c r="C966" t="s">
        <v>1343</v>
      </c>
    </row>
    <row r="967" spans="1:3" x14ac:dyDescent="0.2">
      <c r="A967" t="s">
        <v>3189</v>
      </c>
      <c r="B967" t="s">
        <v>1339</v>
      </c>
      <c r="C967" t="s">
        <v>1343</v>
      </c>
    </row>
    <row r="968" spans="1:3" x14ac:dyDescent="0.2">
      <c r="A968" t="s">
        <v>3190</v>
      </c>
      <c r="B968" t="s">
        <v>1339</v>
      </c>
      <c r="C968" t="s">
        <v>1343</v>
      </c>
    </row>
    <row r="969" spans="1:3" x14ac:dyDescent="0.2">
      <c r="A969" t="s">
        <v>3191</v>
      </c>
      <c r="B969" t="s">
        <v>1339</v>
      </c>
      <c r="C969" t="s">
        <v>1343</v>
      </c>
    </row>
    <row r="970" spans="1:3" x14ac:dyDescent="0.2">
      <c r="A970" t="s">
        <v>3192</v>
      </c>
      <c r="B970" t="s">
        <v>1339</v>
      </c>
      <c r="C970" t="s">
        <v>1343</v>
      </c>
    </row>
    <row r="971" spans="1:3" x14ac:dyDescent="0.2">
      <c r="A971" t="s">
        <v>3193</v>
      </c>
      <c r="B971" t="s">
        <v>1339</v>
      </c>
      <c r="C971" t="s">
        <v>1343</v>
      </c>
    </row>
    <row r="972" spans="1:3" x14ac:dyDescent="0.2">
      <c r="A972" t="s">
        <v>3194</v>
      </c>
      <c r="B972" t="s">
        <v>1339</v>
      </c>
      <c r="C972" t="s">
        <v>1343</v>
      </c>
    </row>
    <row r="973" spans="1:3" x14ac:dyDescent="0.2">
      <c r="A973" t="s">
        <v>3195</v>
      </c>
      <c r="B973" t="s">
        <v>1339</v>
      </c>
      <c r="C973" t="s">
        <v>1343</v>
      </c>
    </row>
    <row r="974" spans="1:3" x14ac:dyDescent="0.2">
      <c r="A974" t="s">
        <v>3196</v>
      </c>
      <c r="B974" t="s">
        <v>1339</v>
      </c>
      <c r="C974" t="s">
        <v>1343</v>
      </c>
    </row>
    <row r="975" spans="1:3" x14ac:dyDescent="0.2">
      <c r="A975" t="s">
        <v>3197</v>
      </c>
      <c r="B975" t="s">
        <v>1339</v>
      </c>
      <c r="C975" t="s">
        <v>1343</v>
      </c>
    </row>
    <row r="976" spans="1:3" x14ac:dyDescent="0.2">
      <c r="A976" t="s">
        <v>3198</v>
      </c>
      <c r="B976" t="s">
        <v>1339</v>
      </c>
      <c r="C976" t="s">
        <v>1343</v>
      </c>
    </row>
    <row r="977" spans="1:3" x14ac:dyDescent="0.2">
      <c r="A977" t="s">
        <v>3199</v>
      </c>
      <c r="B977" t="s">
        <v>1339</v>
      </c>
      <c r="C977" t="s">
        <v>1343</v>
      </c>
    </row>
    <row r="978" spans="1:3" x14ac:dyDescent="0.2">
      <c r="A978" t="s">
        <v>3200</v>
      </c>
      <c r="B978" t="s">
        <v>1339</v>
      </c>
      <c r="C978" t="s">
        <v>1343</v>
      </c>
    </row>
    <row r="979" spans="1:3" x14ac:dyDescent="0.2">
      <c r="A979" t="s">
        <v>3201</v>
      </c>
      <c r="B979" t="s">
        <v>1339</v>
      </c>
      <c r="C979" t="s">
        <v>1343</v>
      </c>
    </row>
    <row r="980" spans="1:3" x14ac:dyDescent="0.2">
      <c r="A980" t="s">
        <v>3202</v>
      </c>
      <c r="B980" t="s">
        <v>1339</v>
      </c>
      <c r="C980" t="s">
        <v>1343</v>
      </c>
    </row>
    <row r="981" spans="1:3" x14ac:dyDescent="0.2">
      <c r="A981" t="s">
        <v>3203</v>
      </c>
      <c r="B981" t="s">
        <v>1339</v>
      </c>
      <c r="C981" t="s">
        <v>1343</v>
      </c>
    </row>
    <row r="982" spans="1:3" x14ac:dyDescent="0.2">
      <c r="A982" t="s">
        <v>3204</v>
      </c>
      <c r="B982" t="s">
        <v>1339</v>
      </c>
      <c r="C982" t="s">
        <v>1343</v>
      </c>
    </row>
    <row r="983" spans="1:3" x14ac:dyDescent="0.2">
      <c r="A983" t="s">
        <v>3205</v>
      </c>
      <c r="B983" t="s">
        <v>1339</v>
      </c>
      <c r="C983" t="s">
        <v>1343</v>
      </c>
    </row>
    <row r="984" spans="1:3" x14ac:dyDescent="0.2">
      <c r="A984" t="s">
        <v>3206</v>
      </c>
      <c r="B984" t="s">
        <v>1339</v>
      </c>
      <c r="C984" t="s">
        <v>1343</v>
      </c>
    </row>
    <row r="985" spans="1:3" x14ac:dyDescent="0.2">
      <c r="A985" t="s">
        <v>3207</v>
      </c>
      <c r="B985" t="s">
        <v>1339</v>
      </c>
      <c r="C985" t="s">
        <v>1343</v>
      </c>
    </row>
    <row r="986" spans="1:3" x14ac:dyDescent="0.2">
      <c r="A986" t="s">
        <v>3208</v>
      </c>
      <c r="B986" t="s">
        <v>1339</v>
      </c>
      <c r="C986" t="s">
        <v>1343</v>
      </c>
    </row>
    <row r="987" spans="1:3" x14ac:dyDescent="0.2">
      <c r="A987" t="s">
        <v>3209</v>
      </c>
      <c r="B987" t="s">
        <v>1339</v>
      </c>
      <c r="C987" t="s">
        <v>1343</v>
      </c>
    </row>
    <row r="988" spans="1:3" x14ac:dyDescent="0.2">
      <c r="A988" t="s">
        <v>3210</v>
      </c>
      <c r="B988" t="s">
        <v>1339</v>
      </c>
      <c r="C988" t="s">
        <v>1343</v>
      </c>
    </row>
    <row r="989" spans="1:3" x14ac:dyDescent="0.2">
      <c r="A989" t="s">
        <v>3211</v>
      </c>
      <c r="B989" t="s">
        <v>1339</v>
      </c>
      <c r="C989" t="s">
        <v>1343</v>
      </c>
    </row>
    <row r="990" spans="1:3" x14ac:dyDescent="0.2">
      <c r="A990" t="s">
        <v>3212</v>
      </c>
      <c r="B990" t="s">
        <v>1339</v>
      </c>
      <c r="C990" t="s">
        <v>1343</v>
      </c>
    </row>
    <row r="991" spans="1:3" x14ac:dyDescent="0.2">
      <c r="A991" t="s">
        <v>3213</v>
      </c>
      <c r="B991" t="s">
        <v>1339</v>
      </c>
      <c r="C991" t="s">
        <v>1343</v>
      </c>
    </row>
    <row r="992" spans="1:3" x14ac:dyDescent="0.2">
      <c r="A992" t="s">
        <v>3214</v>
      </c>
      <c r="B992" t="s">
        <v>1339</v>
      </c>
      <c r="C992" t="s">
        <v>1343</v>
      </c>
    </row>
    <row r="993" spans="1:3" x14ac:dyDescent="0.2">
      <c r="A993" t="s">
        <v>3215</v>
      </c>
      <c r="B993" t="s">
        <v>1339</v>
      </c>
      <c r="C993" t="s">
        <v>1343</v>
      </c>
    </row>
    <row r="994" spans="1:3" x14ac:dyDescent="0.2">
      <c r="A994" t="s">
        <v>3216</v>
      </c>
      <c r="B994" t="s">
        <v>1339</v>
      </c>
      <c r="C994" t="s">
        <v>1343</v>
      </c>
    </row>
    <row r="995" spans="1:3" x14ac:dyDescent="0.2">
      <c r="A995" t="s">
        <v>3217</v>
      </c>
      <c r="B995" t="s">
        <v>1339</v>
      </c>
      <c r="C995" t="s">
        <v>1343</v>
      </c>
    </row>
    <row r="996" spans="1:3" x14ac:dyDescent="0.2">
      <c r="A996" t="s">
        <v>3218</v>
      </c>
      <c r="B996" t="s">
        <v>1339</v>
      </c>
      <c r="C996" t="s">
        <v>1343</v>
      </c>
    </row>
    <row r="997" spans="1:3" x14ac:dyDescent="0.2">
      <c r="A997" t="s">
        <v>3219</v>
      </c>
      <c r="B997" t="s">
        <v>1339</v>
      </c>
      <c r="C997" t="s">
        <v>1343</v>
      </c>
    </row>
    <row r="998" spans="1:3" x14ac:dyDescent="0.2">
      <c r="A998" t="s">
        <v>3220</v>
      </c>
      <c r="B998" t="s">
        <v>1339</v>
      </c>
      <c r="C998" t="s">
        <v>1343</v>
      </c>
    </row>
    <row r="999" spans="1:3" x14ac:dyDescent="0.2">
      <c r="A999" t="s">
        <v>3221</v>
      </c>
      <c r="B999" t="s">
        <v>1339</v>
      </c>
      <c r="C999" t="s">
        <v>1343</v>
      </c>
    </row>
    <row r="1000" spans="1:3" x14ac:dyDescent="0.2">
      <c r="A1000" t="s">
        <v>3222</v>
      </c>
      <c r="B1000" t="s">
        <v>1339</v>
      </c>
      <c r="C1000" t="s">
        <v>1343</v>
      </c>
    </row>
    <row r="1001" spans="1:3" x14ac:dyDescent="0.2">
      <c r="A1001" t="s">
        <v>3223</v>
      </c>
      <c r="B1001" t="s">
        <v>1339</v>
      </c>
      <c r="C1001" t="s">
        <v>1343</v>
      </c>
    </row>
    <row r="1002" spans="1:3" x14ac:dyDescent="0.2">
      <c r="A1002" t="s">
        <v>3224</v>
      </c>
      <c r="B1002" t="s">
        <v>1339</v>
      </c>
      <c r="C1002" t="s">
        <v>1343</v>
      </c>
    </row>
    <row r="1003" spans="1:3" x14ac:dyDescent="0.2">
      <c r="A1003" t="s">
        <v>3225</v>
      </c>
      <c r="B1003" t="s">
        <v>1339</v>
      </c>
      <c r="C1003" t="s">
        <v>1343</v>
      </c>
    </row>
    <row r="1004" spans="1:3" x14ac:dyDescent="0.2">
      <c r="A1004" t="s">
        <v>3226</v>
      </c>
      <c r="B1004" t="s">
        <v>1339</v>
      </c>
      <c r="C1004" t="s">
        <v>1343</v>
      </c>
    </row>
    <row r="1005" spans="1:3" x14ac:dyDescent="0.2">
      <c r="A1005" t="s">
        <v>3227</v>
      </c>
      <c r="B1005" t="s">
        <v>1339</v>
      </c>
      <c r="C1005" t="s">
        <v>1343</v>
      </c>
    </row>
    <row r="1006" spans="1:3" x14ac:dyDescent="0.2">
      <c r="A1006" t="s">
        <v>3228</v>
      </c>
      <c r="B1006" t="s">
        <v>1339</v>
      </c>
      <c r="C1006" t="s">
        <v>1343</v>
      </c>
    </row>
    <row r="1007" spans="1:3" x14ac:dyDescent="0.2">
      <c r="A1007" t="s">
        <v>3229</v>
      </c>
      <c r="B1007" t="s">
        <v>1339</v>
      </c>
      <c r="C1007" t="s">
        <v>1343</v>
      </c>
    </row>
    <row r="1008" spans="1:3" x14ac:dyDescent="0.2">
      <c r="A1008" t="s">
        <v>3230</v>
      </c>
      <c r="B1008" t="s">
        <v>1339</v>
      </c>
      <c r="C1008" t="s">
        <v>1343</v>
      </c>
    </row>
    <row r="1009" spans="1:3" x14ac:dyDescent="0.2">
      <c r="A1009" t="s">
        <v>3231</v>
      </c>
      <c r="B1009" t="s">
        <v>1339</v>
      </c>
      <c r="C1009" t="s">
        <v>1343</v>
      </c>
    </row>
    <row r="1010" spans="1:3" x14ac:dyDescent="0.2">
      <c r="A1010" t="s">
        <v>3232</v>
      </c>
      <c r="B1010" t="s">
        <v>1339</v>
      </c>
      <c r="C1010" t="s">
        <v>1343</v>
      </c>
    </row>
    <row r="1011" spans="1:3" x14ac:dyDescent="0.2">
      <c r="A1011" t="s">
        <v>3233</v>
      </c>
      <c r="B1011" t="s">
        <v>1339</v>
      </c>
      <c r="C1011" t="s">
        <v>1343</v>
      </c>
    </row>
    <row r="1012" spans="1:3" x14ac:dyDescent="0.2">
      <c r="A1012" t="s">
        <v>3234</v>
      </c>
      <c r="B1012" t="s">
        <v>1339</v>
      </c>
      <c r="C1012" t="s">
        <v>1343</v>
      </c>
    </row>
    <row r="1013" spans="1:3" x14ac:dyDescent="0.2">
      <c r="A1013" t="s">
        <v>3235</v>
      </c>
      <c r="B1013" t="s">
        <v>1339</v>
      </c>
      <c r="C1013" t="s">
        <v>1343</v>
      </c>
    </row>
    <row r="1014" spans="1:3" x14ac:dyDescent="0.2">
      <c r="A1014" t="s">
        <v>3236</v>
      </c>
      <c r="B1014" t="s">
        <v>1339</v>
      </c>
      <c r="C1014" t="s">
        <v>1343</v>
      </c>
    </row>
    <row r="1015" spans="1:3" x14ac:dyDescent="0.2">
      <c r="A1015" t="s">
        <v>3237</v>
      </c>
      <c r="B1015" t="s">
        <v>1339</v>
      </c>
      <c r="C1015" t="s">
        <v>1343</v>
      </c>
    </row>
    <row r="1016" spans="1:3" x14ac:dyDescent="0.2">
      <c r="A1016" t="s">
        <v>3238</v>
      </c>
      <c r="B1016" t="s">
        <v>1339</v>
      </c>
      <c r="C1016" t="s">
        <v>1343</v>
      </c>
    </row>
    <row r="1017" spans="1:3" x14ac:dyDescent="0.2">
      <c r="A1017" t="s">
        <v>3239</v>
      </c>
      <c r="B1017" t="s">
        <v>1339</v>
      </c>
      <c r="C1017" t="s">
        <v>1343</v>
      </c>
    </row>
    <row r="1018" spans="1:3" x14ac:dyDescent="0.2">
      <c r="A1018" t="s">
        <v>3240</v>
      </c>
      <c r="B1018" t="s">
        <v>1339</v>
      </c>
      <c r="C1018" t="s">
        <v>1343</v>
      </c>
    </row>
    <row r="1019" spans="1:3" x14ac:dyDescent="0.2">
      <c r="A1019" t="s">
        <v>3241</v>
      </c>
      <c r="B1019" t="s">
        <v>1339</v>
      </c>
      <c r="C1019" t="s">
        <v>1343</v>
      </c>
    </row>
    <row r="1020" spans="1:3" x14ac:dyDescent="0.2">
      <c r="A1020" t="s">
        <v>3242</v>
      </c>
      <c r="B1020" t="s">
        <v>1339</v>
      </c>
      <c r="C1020" t="s">
        <v>1343</v>
      </c>
    </row>
    <row r="1021" spans="1:3" x14ac:dyDescent="0.2">
      <c r="A1021" t="s">
        <v>3243</v>
      </c>
      <c r="B1021" t="s">
        <v>1339</v>
      </c>
      <c r="C1021" t="s">
        <v>1343</v>
      </c>
    </row>
    <row r="1022" spans="1:3" x14ac:dyDescent="0.2">
      <c r="A1022" t="s">
        <v>3244</v>
      </c>
      <c r="B1022" t="s">
        <v>1339</v>
      </c>
      <c r="C1022" t="s">
        <v>1343</v>
      </c>
    </row>
    <row r="1023" spans="1:3" x14ac:dyDescent="0.2">
      <c r="A1023" t="s">
        <v>3245</v>
      </c>
      <c r="B1023" t="s">
        <v>1339</v>
      </c>
      <c r="C1023" t="s">
        <v>1343</v>
      </c>
    </row>
    <row r="1024" spans="1:3" x14ac:dyDescent="0.2">
      <c r="A1024" t="s">
        <v>3246</v>
      </c>
      <c r="B1024" t="s">
        <v>1339</v>
      </c>
      <c r="C1024" t="s">
        <v>1343</v>
      </c>
    </row>
    <row r="1025" spans="1:3" x14ac:dyDescent="0.2">
      <c r="A1025" t="s">
        <v>3247</v>
      </c>
      <c r="B1025" t="s">
        <v>1339</v>
      </c>
      <c r="C1025" t="s">
        <v>1343</v>
      </c>
    </row>
    <row r="1026" spans="1:3" x14ac:dyDescent="0.2">
      <c r="A1026" t="s">
        <v>3248</v>
      </c>
      <c r="B1026" t="s">
        <v>1339</v>
      </c>
      <c r="C1026" t="s">
        <v>1343</v>
      </c>
    </row>
    <row r="1027" spans="1:3" x14ac:dyDescent="0.2">
      <c r="A1027" t="s">
        <v>3249</v>
      </c>
      <c r="B1027" t="s">
        <v>1339</v>
      </c>
      <c r="C1027" t="s">
        <v>1343</v>
      </c>
    </row>
    <row r="1028" spans="1:3" x14ac:dyDescent="0.2">
      <c r="A1028" t="s">
        <v>3250</v>
      </c>
      <c r="B1028" t="s">
        <v>1339</v>
      </c>
      <c r="C1028" t="s">
        <v>1343</v>
      </c>
    </row>
    <row r="1029" spans="1:3" x14ac:dyDescent="0.2">
      <c r="A1029" t="s">
        <v>3251</v>
      </c>
      <c r="B1029" t="s">
        <v>1339</v>
      </c>
      <c r="C1029" t="s">
        <v>1343</v>
      </c>
    </row>
    <row r="1030" spans="1:3" x14ac:dyDescent="0.2">
      <c r="A1030" t="s">
        <v>3252</v>
      </c>
      <c r="B1030" t="s">
        <v>1339</v>
      </c>
      <c r="C1030" t="s">
        <v>1343</v>
      </c>
    </row>
    <row r="1031" spans="1:3" x14ac:dyDescent="0.2">
      <c r="A1031" t="s">
        <v>3253</v>
      </c>
      <c r="B1031" t="s">
        <v>1339</v>
      </c>
      <c r="C1031" t="s">
        <v>1343</v>
      </c>
    </row>
    <row r="1032" spans="1:3" x14ac:dyDescent="0.2">
      <c r="A1032" t="s">
        <v>3254</v>
      </c>
      <c r="B1032" t="s">
        <v>1339</v>
      </c>
      <c r="C1032" t="s">
        <v>1343</v>
      </c>
    </row>
    <row r="1033" spans="1:3" x14ac:dyDescent="0.2">
      <c r="A1033" t="s">
        <v>3255</v>
      </c>
      <c r="B1033" t="s">
        <v>1339</v>
      </c>
      <c r="C1033" t="s">
        <v>1343</v>
      </c>
    </row>
    <row r="1034" spans="1:3" x14ac:dyDescent="0.2">
      <c r="A1034" t="s">
        <v>3256</v>
      </c>
      <c r="B1034" t="s">
        <v>1339</v>
      </c>
      <c r="C1034" t="s">
        <v>1343</v>
      </c>
    </row>
    <row r="1035" spans="1:3" x14ac:dyDescent="0.2">
      <c r="A1035" t="s">
        <v>3257</v>
      </c>
      <c r="B1035" t="s">
        <v>1339</v>
      </c>
      <c r="C1035" t="s">
        <v>1343</v>
      </c>
    </row>
    <row r="1036" spans="1:3" x14ac:dyDescent="0.2">
      <c r="A1036" t="s">
        <v>3258</v>
      </c>
      <c r="B1036" t="s">
        <v>1339</v>
      </c>
      <c r="C1036" t="s">
        <v>1343</v>
      </c>
    </row>
    <row r="1037" spans="1:3" x14ac:dyDescent="0.2">
      <c r="A1037" t="s">
        <v>3259</v>
      </c>
      <c r="B1037" t="s">
        <v>1339</v>
      </c>
      <c r="C1037" t="s">
        <v>1343</v>
      </c>
    </row>
    <row r="1038" spans="1:3" x14ac:dyDescent="0.2">
      <c r="A1038" t="s">
        <v>3260</v>
      </c>
      <c r="B1038" t="s">
        <v>1339</v>
      </c>
      <c r="C1038" t="s">
        <v>1343</v>
      </c>
    </row>
    <row r="1039" spans="1:3" x14ac:dyDescent="0.2">
      <c r="A1039" t="s">
        <v>3261</v>
      </c>
      <c r="B1039" t="s">
        <v>1339</v>
      </c>
      <c r="C1039" t="s">
        <v>1343</v>
      </c>
    </row>
    <row r="1040" spans="1:3" x14ac:dyDescent="0.2">
      <c r="A1040" t="s">
        <v>3262</v>
      </c>
      <c r="B1040" t="s">
        <v>1339</v>
      </c>
      <c r="C1040" t="s">
        <v>1343</v>
      </c>
    </row>
    <row r="1041" spans="1:3" x14ac:dyDescent="0.2">
      <c r="A1041" t="s">
        <v>3263</v>
      </c>
      <c r="B1041" t="s">
        <v>1339</v>
      </c>
      <c r="C1041" t="s">
        <v>1343</v>
      </c>
    </row>
    <row r="1042" spans="1:3" x14ac:dyDescent="0.2">
      <c r="A1042" t="s">
        <v>3264</v>
      </c>
      <c r="B1042" t="s">
        <v>1339</v>
      </c>
      <c r="C1042" t="s">
        <v>1343</v>
      </c>
    </row>
    <row r="1043" spans="1:3" x14ac:dyDescent="0.2">
      <c r="A1043" t="s">
        <v>3265</v>
      </c>
      <c r="B1043" t="s">
        <v>1339</v>
      </c>
      <c r="C1043" t="s">
        <v>1343</v>
      </c>
    </row>
    <row r="1044" spans="1:3" x14ac:dyDescent="0.2">
      <c r="A1044" t="s">
        <v>3266</v>
      </c>
      <c r="B1044" t="s">
        <v>1339</v>
      </c>
      <c r="C1044" t="s">
        <v>1343</v>
      </c>
    </row>
    <row r="1045" spans="1:3" x14ac:dyDescent="0.2">
      <c r="A1045" t="s">
        <v>3267</v>
      </c>
      <c r="B1045" t="s">
        <v>1339</v>
      </c>
      <c r="C1045" t="s">
        <v>1343</v>
      </c>
    </row>
    <row r="1046" spans="1:3" x14ac:dyDescent="0.2">
      <c r="A1046" t="s">
        <v>3268</v>
      </c>
      <c r="B1046" t="s">
        <v>1339</v>
      </c>
      <c r="C1046" t="s">
        <v>1343</v>
      </c>
    </row>
    <row r="1047" spans="1:3" x14ac:dyDescent="0.2">
      <c r="A1047" t="s">
        <v>3269</v>
      </c>
      <c r="B1047" t="s">
        <v>1339</v>
      </c>
      <c r="C1047" t="s">
        <v>1343</v>
      </c>
    </row>
    <row r="1048" spans="1:3" x14ac:dyDescent="0.2">
      <c r="A1048" t="s">
        <v>3270</v>
      </c>
      <c r="B1048" t="s">
        <v>1339</v>
      </c>
      <c r="C1048" t="s">
        <v>1343</v>
      </c>
    </row>
    <row r="1049" spans="1:3" x14ac:dyDescent="0.2">
      <c r="A1049" t="s">
        <v>3271</v>
      </c>
      <c r="B1049" t="s">
        <v>1339</v>
      </c>
      <c r="C1049" t="s">
        <v>1343</v>
      </c>
    </row>
    <row r="1050" spans="1:3" x14ac:dyDescent="0.2">
      <c r="A1050" t="s">
        <v>3272</v>
      </c>
      <c r="B1050" t="s">
        <v>1339</v>
      </c>
      <c r="C1050" t="s">
        <v>1343</v>
      </c>
    </row>
    <row r="1051" spans="1:3" x14ac:dyDescent="0.2">
      <c r="A1051" t="s">
        <v>3273</v>
      </c>
      <c r="B1051" t="s">
        <v>1339</v>
      </c>
      <c r="C1051" t="s">
        <v>1343</v>
      </c>
    </row>
    <row r="1052" spans="1:3" x14ac:dyDescent="0.2">
      <c r="A1052" t="s">
        <v>3274</v>
      </c>
      <c r="B1052" t="s">
        <v>1339</v>
      </c>
      <c r="C1052" t="s">
        <v>1343</v>
      </c>
    </row>
    <row r="1053" spans="1:3" x14ac:dyDescent="0.2">
      <c r="A1053" t="s">
        <v>3275</v>
      </c>
      <c r="B1053" t="s">
        <v>1339</v>
      </c>
      <c r="C1053" t="s">
        <v>1343</v>
      </c>
    </row>
    <row r="1054" spans="1:3" x14ac:dyDescent="0.2">
      <c r="A1054" t="s">
        <v>3276</v>
      </c>
      <c r="B1054" t="s">
        <v>1339</v>
      </c>
      <c r="C1054" t="s">
        <v>1343</v>
      </c>
    </row>
    <row r="1055" spans="1:3" x14ac:dyDescent="0.2">
      <c r="A1055" t="s">
        <v>3277</v>
      </c>
      <c r="B1055" t="s">
        <v>1339</v>
      </c>
      <c r="C1055" t="s">
        <v>1343</v>
      </c>
    </row>
    <row r="1056" spans="1:3" x14ac:dyDescent="0.2">
      <c r="A1056" t="s">
        <v>3278</v>
      </c>
      <c r="B1056" t="s">
        <v>1339</v>
      </c>
      <c r="C1056" t="s">
        <v>1343</v>
      </c>
    </row>
    <row r="1057" spans="1:3" x14ac:dyDescent="0.2">
      <c r="A1057" t="s">
        <v>3279</v>
      </c>
      <c r="B1057" t="s">
        <v>1339</v>
      </c>
      <c r="C1057" t="s">
        <v>1343</v>
      </c>
    </row>
    <row r="1058" spans="1:3" x14ac:dyDescent="0.2">
      <c r="A1058" t="s">
        <v>3280</v>
      </c>
      <c r="B1058" t="s">
        <v>1339</v>
      </c>
      <c r="C1058" t="s">
        <v>1343</v>
      </c>
    </row>
    <row r="1059" spans="1:3" x14ac:dyDescent="0.2">
      <c r="A1059" t="s">
        <v>3281</v>
      </c>
      <c r="B1059" t="s">
        <v>1339</v>
      </c>
      <c r="C1059" t="s">
        <v>1343</v>
      </c>
    </row>
    <row r="1060" spans="1:3" x14ac:dyDescent="0.2">
      <c r="A1060" t="s">
        <v>3282</v>
      </c>
      <c r="B1060" t="s">
        <v>1339</v>
      </c>
      <c r="C1060" t="s">
        <v>1343</v>
      </c>
    </row>
    <row r="1061" spans="1:3" x14ac:dyDescent="0.2">
      <c r="A1061" t="s">
        <v>3283</v>
      </c>
      <c r="B1061" t="s">
        <v>1339</v>
      </c>
      <c r="C1061" t="s">
        <v>1343</v>
      </c>
    </row>
    <row r="1062" spans="1:3" x14ac:dyDescent="0.2">
      <c r="A1062" t="s">
        <v>3284</v>
      </c>
      <c r="B1062" t="s">
        <v>1339</v>
      </c>
      <c r="C1062" t="s">
        <v>1343</v>
      </c>
    </row>
    <row r="1063" spans="1:3" x14ac:dyDescent="0.2">
      <c r="A1063" t="s">
        <v>3285</v>
      </c>
      <c r="B1063" t="s">
        <v>1339</v>
      </c>
      <c r="C1063" t="s">
        <v>1343</v>
      </c>
    </row>
    <row r="1064" spans="1:3" x14ac:dyDescent="0.2">
      <c r="A1064" t="s">
        <v>3286</v>
      </c>
      <c r="B1064" t="s">
        <v>1339</v>
      </c>
      <c r="C1064" t="s">
        <v>1343</v>
      </c>
    </row>
    <row r="1065" spans="1:3" x14ac:dyDescent="0.2">
      <c r="A1065" t="s">
        <v>3287</v>
      </c>
      <c r="B1065" t="s">
        <v>1339</v>
      </c>
      <c r="C1065" t="s">
        <v>1343</v>
      </c>
    </row>
    <row r="1066" spans="1:3" x14ac:dyDescent="0.2">
      <c r="A1066" t="s">
        <v>3288</v>
      </c>
      <c r="B1066" t="s">
        <v>1339</v>
      </c>
      <c r="C1066" t="s">
        <v>1343</v>
      </c>
    </row>
    <row r="1067" spans="1:3" x14ac:dyDescent="0.2">
      <c r="A1067" t="s">
        <v>3289</v>
      </c>
      <c r="B1067" t="s">
        <v>1339</v>
      </c>
      <c r="C1067" t="s">
        <v>1343</v>
      </c>
    </row>
    <row r="1068" spans="1:3" x14ac:dyDescent="0.2">
      <c r="A1068" t="s">
        <v>3290</v>
      </c>
      <c r="B1068" t="s">
        <v>1339</v>
      </c>
      <c r="C1068" t="s">
        <v>1343</v>
      </c>
    </row>
    <row r="1069" spans="1:3" x14ac:dyDescent="0.2">
      <c r="A1069" t="s">
        <v>3291</v>
      </c>
      <c r="B1069" t="s">
        <v>1339</v>
      </c>
      <c r="C1069" t="s">
        <v>1343</v>
      </c>
    </row>
    <row r="1070" spans="1:3" x14ac:dyDescent="0.2">
      <c r="A1070" t="s">
        <v>3292</v>
      </c>
      <c r="B1070" t="s">
        <v>1339</v>
      </c>
      <c r="C1070" t="s">
        <v>1343</v>
      </c>
    </row>
    <row r="1071" spans="1:3" x14ac:dyDescent="0.2">
      <c r="A1071" t="s">
        <v>3293</v>
      </c>
      <c r="B1071" t="s">
        <v>1339</v>
      </c>
      <c r="C1071" t="s">
        <v>1343</v>
      </c>
    </row>
    <row r="1072" spans="1:3" x14ac:dyDescent="0.2">
      <c r="A1072" t="s">
        <v>3294</v>
      </c>
      <c r="B1072" t="s">
        <v>1339</v>
      </c>
      <c r="C1072" t="s">
        <v>1343</v>
      </c>
    </row>
    <row r="1073" spans="1:3" x14ac:dyDescent="0.2">
      <c r="A1073" t="s">
        <v>3295</v>
      </c>
      <c r="B1073" t="s">
        <v>1339</v>
      </c>
      <c r="C1073" t="s">
        <v>1343</v>
      </c>
    </row>
    <row r="1074" spans="1:3" x14ac:dyDescent="0.2">
      <c r="A1074" t="s">
        <v>3296</v>
      </c>
      <c r="B1074" t="s">
        <v>1339</v>
      </c>
      <c r="C1074" t="s">
        <v>1343</v>
      </c>
    </row>
    <row r="1075" spans="1:3" x14ac:dyDescent="0.2">
      <c r="A1075" t="s">
        <v>3297</v>
      </c>
      <c r="B1075" t="s">
        <v>1339</v>
      </c>
      <c r="C1075" t="s">
        <v>1343</v>
      </c>
    </row>
    <row r="1076" spans="1:3" x14ac:dyDescent="0.2">
      <c r="A1076" t="s">
        <v>3298</v>
      </c>
      <c r="B1076" t="s">
        <v>1339</v>
      </c>
      <c r="C1076" t="s">
        <v>1343</v>
      </c>
    </row>
    <row r="1077" spans="1:3" x14ac:dyDescent="0.2">
      <c r="A1077" t="s">
        <v>3299</v>
      </c>
      <c r="B1077" t="s">
        <v>1339</v>
      </c>
      <c r="C1077" t="s">
        <v>1343</v>
      </c>
    </row>
    <row r="1078" spans="1:3" x14ac:dyDescent="0.2">
      <c r="A1078" t="s">
        <v>3300</v>
      </c>
      <c r="B1078" t="s">
        <v>1339</v>
      </c>
      <c r="C1078" t="s">
        <v>1343</v>
      </c>
    </row>
    <row r="1079" spans="1:3" x14ac:dyDescent="0.2">
      <c r="A1079" t="s">
        <v>3301</v>
      </c>
      <c r="B1079" t="s">
        <v>1339</v>
      </c>
      <c r="C1079" t="s">
        <v>1343</v>
      </c>
    </row>
    <row r="1080" spans="1:3" x14ac:dyDescent="0.2">
      <c r="A1080" t="s">
        <v>3302</v>
      </c>
      <c r="B1080" t="s">
        <v>1339</v>
      </c>
      <c r="C1080" t="s">
        <v>1343</v>
      </c>
    </row>
    <row r="1081" spans="1:3" x14ac:dyDescent="0.2">
      <c r="A1081" t="s">
        <v>3303</v>
      </c>
      <c r="B1081" t="s">
        <v>1339</v>
      </c>
      <c r="C1081" t="s">
        <v>1343</v>
      </c>
    </row>
    <row r="1082" spans="1:3" x14ac:dyDescent="0.2">
      <c r="A1082" t="s">
        <v>3304</v>
      </c>
      <c r="B1082" t="s">
        <v>1339</v>
      </c>
      <c r="C1082" t="s">
        <v>1343</v>
      </c>
    </row>
    <row r="1083" spans="1:3" x14ac:dyDescent="0.2">
      <c r="A1083" t="s">
        <v>3305</v>
      </c>
      <c r="B1083" t="s">
        <v>1339</v>
      </c>
      <c r="C1083" t="s">
        <v>1343</v>
      </c>
    </row>
    <row r="1084" spans="1:3" x14ac:dyDescent="0.2">
      <c r="A1084" t="s">
        <v>3306</v>
      </c>
      <c r="B1084" t="s">
        <v>1339</v>
      </c>
      <c r="C1084" t="s">
        <v>1343</v>
      </c>
    </row>
    <row r="1085" spans="1:3" x14ac:dyDescent="0.2">
      <c r="A1085" t="s">
        <v>3307</v>
      </c>
      <c r="B1085" t="s">
        <v>1339</v>
      </c>
      <c r="C1085" t="s">
        <v>1343</v>
      </c>
    </row>
    <row r="1086" spans="1:3" x14ac:dyDescent="0.2">
      <c r="A1086" t="s">
        <v>3308</v>
      </c>
      <c r="B1086" t="s">
        <v>1339</v>
      </c>
      <c r="C1086" t="s">
        <v>1343</v>
      </c>
    </row>
    <row r="1087" spans="1:3" x14ac:dyDescent="0.2">
      <c r="A1087" t="s">
        <v>3309</v>
      </c>
      <c r="B1087" t="s">
        <v>1339</v>
      </c>
      <c r="C1087" t="s">
        <v>1343</v>
      </c>
    </row>
    <row r="1088" spans="1:3" x14ac:dyDescent="0.2">
      <c r="A1088" t="s">
        <v>3310</v>
      </c>
      <c r="B1088" t="s">
        <v>1339</v>
      </c>
      <c r="C1088" t="s">
        <v>1343</v>
      </c>
    </row>
    <row r="1089" spans="1:3" x14ac:dyDescent="0.2">
      <c r="A1089" t="s">
        <v>3311</v>
      </c>
      <c r="B1089" t="s">
        <v>1339</v>
      </c>
      <c r="C1089" t="s">
        <v>1343</v>
      </c>
    </row>
    <row r="1090" spans="1:3" x14ac:dyDescent="0.2">
      <c r="A1090" t="s">
        <v>3312</v>
      </c>
      <c r="B1090" t="s">
        <v>1339</v>
      </c>
      <c r="C1090" t="s">
        <v>1343</v>
      </c>
    </row>
    <row r="1091" spans="1:3" x14ac:dyDescent="0.2">
      <c r="A1091" t="s">
        <v>3313</v>
      </c>
      <c r="B1091" t="s">
        <v>1339</v>
      </c>
      <c r="C1091" t="s">
        <v>1343</v>
      </c>
    </row>
    <row r="1092" spans="1:3" x14ac:dyDescent="0.2">
      <c r="A1092" t="s">
        <v>3314</v>
      </c>
      <c r="B1092" t="s">
        <v>1339</v>
      </c>
      <c r="C1092" t="s">
        <v>1343</v>
      </c>
    </row>
    <row r="1093" spans="1:3" x14ac:dyDescent="0.2">
      <c r="A1093" t="s">
        <v>3315</v>
      </c>
      <c r="B1093" t="s">
        <v>1339</v>
      </c>
      <c r="C1093" t="s">
        <v>1343</v>
      </c>
    </row>
    <row r="1094" spans="1:3" x14ac:dyDescent="0.2">
      <c r="A1094" t="s">
        <v>3316</v>
      </c>
      <c r="B1094" t="s">
        <v>1339</v>
      </c>
      <c r="C1094" t="s">
        <v>1343</v>
      </c>
    </row>
    <row r="1095" spans="1:3" x14ac:dyDescent="0.2">
      <c r="A1095" t="s">
        <v>3317</v>
      </c>
      <c r="B1095" t="s">
        <v>1339</v>
      </c>
      <c r="C1095" t="s">
        <v>1343</v>
      </c>
    </row>
    <row r="1096" spans="1:3" x14ac:dyDescent="0.2">
      <c r="A1096" t="s">
        <v>3318</v>
      </c>
      <c r="B1096" t="s">
        <v>1339</v>
      </c>
      <c r="C1096" t="s">
        <v>1343</v>
      </c>
    </row>
    <row r="1097" spans="1:3" x14ac:dyDescent="0.2">
      <c r="A1097" t="s">
        <v>3319</v>
      </c>
      <c r="B1097" t="s">
        <v>1339</v>
      </c>
      <c r="C1097" t="s">
        <v>1343</v>
      </c>
    </row>
    <row r="1098" spans="1:3" x14ac:dyDescent="0.2">
      <c r="A1098" t="s">
        <v>3320</v>
      </c>
      <c r="B1098" t="s">
        <v>1339</v>
      </c>
      <c r="C1098" t="s">
        <v>1343</v>
      </c>
    </row>
    <row r="1099" spans="1:3" x14ac:dyDescent="0.2">
      <c r="A1099" t="s">
        <v>3321</v>
      </c>
      <c r="B1099" t="s">
        <v>1339</v>
      </c>
      <c r="C1099" t="s">
        <v>1343</v>
      </c>
    </row>
    <row r="1100" spans="1:3" x14ac:dyDescent="0.2">
      <c r="A1100" t="s">
        <v>3322</v>
      </c>
      <c r="B1100" t="s">
        <v>1339</v>
      </c>
      <c r="C1100" t="s">
        <v>1343</v>
      </c>
    </row>
    <row r="1101" spans="1:3" x14ac:dyDescent="0.2">
      <c r="A1101" t="s">
        <v>3323</v>
      </c>
      <c r="B1101" t="s">
        <v>1339</v>
      </c>
      <c r="C1101" t="s">
        <v>1343</v>
      </c>
    </row>
    <row r="1102" spans="1:3" x14ac:dyDescent="0.2">
      <c r="A1102" t="s">
        <v>3324</v>
      </c>
      <c r="B1102" t="s">
        <v>1339</v>
      </c>
      <c r="C1102" t="s">
        <v>1343</v>
      </c>
    </row>
    <row r="1103" spans="1:3" x14ac:dyDescent="0.2">
      <c r="A1103" t="s">
        <v>3325</v>
      </c>
      <c r="B1103" t="s">
        <v>1339</v>
      </c>
      <c r="C1103" t="s">
        <v>1343</v>
      </c>
    </row>
    <row r="1104" spans="1:3" x14ac:dyDescent="0.2">
      <c r="A1104" t="s">
        <v>3326</v>
      </c>
      <c r="B1104" t="s">
        <v>1339</v>
      </c>
      <c r="C1104" t="s">
        <v>1343</v>
      </c>
    </row>
    <row r="1105" spans="1:3" x14ac:dyDescent="0.2">
      <c r="A1105" t="s">
        <v>3327</v>
      </c>
      <c r="B1105" t="s">
        <v>1339</v>
      </c>
      <c r="C1105" t="s">
        <v>1343</v>
      </c>
    </row>
    <row r="1106" spans="1:3" x14ac:dyDescent="0.2">
      <c r="A1106" t="s">
        <v>3328</v>
      </c>
      <c r="B1106" t="s">
        <v>1339</v>
      </c>
      <c r="C1106" t="s">
        <v>1343</v>
      </c>
    </row>
    <row r="1107" spans="1:3" x14ac:dyDescent="0.2">
      <c r="A1107" t="s">
        <v>3329</v>
      </c>
      <c r="B1107" t="s">
        <v>1339</v>
      </c>
      <c r="C1107" t="s">
        <v>1343</v>
      </c>
    </row>
    <row r="1108" spans="1:3" x14ac:dyDescent="0.2">
      <c r="A1108" t="s">
        <v>3330</v>
      </c>
      <c r="B1108" t="s">
        <v>1339</v>
      </c>
      <c r="C1108" t="s">
        <v>1343</v>
      </c>
    </row>
    <row r="1109" spans="1:3" x14ac:dyDescent="0.2">
      <c r="A1109" t="s">
        <v>3331</v>
      </c>
      <c r="B1109" t="s">
        <v>1339</v>
      </c>
      <c r="C1109" t="s">
        <v>1343</v>
      </c>
    </row>
    <row r="1110" spans="1:3" x14ac:dyDescent="0.2">
      <c r="A1110" t="s">
        <v>3332</v>
      </c>
      <c r="B1110" t="s">
        <v>1339</v>
      </c>
      <c r="C1110" t="s">
        <v>1343</v>
      </c>
    </row>
    <row r="1111" spans="1:3" x14ac:dyDescent="0.2">
      <c r="A1111" t="s">
        <v>3333</v>
      </c>
      <c r="B1111" t="s">
        <v>1339</v>
      </c>
      <c r="C1111" t="s">
        <v>1343</v>
      </c>
    </row>
    <row r="1112" spans="1:3" x14ac:dyDescent="0.2">
      <c r="A1112" t="s">
        <v>3334</v>
      </c>
      <c r="B1112" t="s">
        <v>1339</v>
      </c>
      <c r="C1112" t="s">
        <v>1343</v>
      </c>
    </row>
    <row r="1113" spans="1:3" x14ac:dyDescent="0.2">
      <c r="A1113" t="s">
        <v>3335</v>
      </c>
      <c r="B1113" t="s">
        <v>1339</v>
      </c>
      <c r="C1113" t="s">
        <v>1343</v>
      </c>
    </row>
    <row r="1114" spans="1:3" x14ac:dyDescent="0.2">
      <c r="A1114" t="s">
        <v>3336</v>
      </c>
      <c r="B1114" t="s">
        <v>1339</v>
      </c>
      <c r="C1114" t="s">
        <v>1343</v>
      </c>
    </row>
    <row r="1115" spans="1:3" x14ac:dyDescent="0.2">
      <c r="A1115" t="s">
        <v>3337</v>
      </c>
      <c r="B1115" t="s">
        <v>1339</v>
      </c>
      <c r="C1115" t="s">
        <v>1343</v>
      </c>
    </row>
    <row r="1116" spans="1:3" x14ac:dyDescent="0.2">
      <c r="A1116" t="s">
        <v>3338</v>
      </c>
      <c r="B1116" t="s">
        <v>1339</v>
      </c>
      <c r="C1116" t="s">
        <v>1343</v>
      </c>
    </row>
    <row r="1117" spans="1:3" x14ac:dyDescent="0.2">
      <c r="A1117" t="s">
        <v>3339</v>
      </c>
      <c r="B1117" t="s">
        <v>1339</v>
      </c>
      <c r="C1117" t="s">
        <v>1343</v>
      </c>
    </row>
    <row r="1118" spans="1:3" x14ac:dyDescent="0.2">
      <c r="A1118" t="s">
        <v>3340</v>
      </c>
      <c r="B1118" t="s">
        <v>1339</v>
      </c>
      <c r="C1118" t="s">
        <v>1343</v>
      </c>
    </row>
    <row r="1119" spans="1:3" x14ac:dyDescent="0.2">
      <c r="A1119" t="s">
        <v>3341</v>
      </c>
      <c r="B1119" t="s">
        <v>1339</v>
      </c>
      <c r="C1119" t="s">
        <v>1343</v>
      </c>
    </row>
    <row r="1120" spans="1:3" x14ac:dyDescent="0.2">
      <c r="A1120" t="s">
        <v>3342</v>
      </c>
      <c r="B1120" t="s">
        <v>1339</v>
      </c>
      <c r="C1120" t="s">
        <v>1343</v>
      </c>
    </row>
    <row r="1121" spans="1:3" x14ac:dyDescent="0.2">
      <c r="A1121" t="s">
        <v>3343</v>
      </c>
      <c r="B1121" t="s">
        <v>1339</v>
      </c>
      <c r="C1121" t="s">
        <v>1343</v>
      </c>
    </row>
    <row r="1122" spans="1:3" x14ac:dyDescent="0.2">
      <c r="A1122" t="s">
        <v>3344</v>
      </c>
      <c r="B1122" t="s">
        <v>1339</v>
      </c>
      <c r="C1122" t="s">
        <v>1343</v>
      </c>
    </row>
    <row r="1123" spans="1:3" x14ac:dyDescent="0.2">
      <c r="A1123" t="s">
        <v>3345</v>
      </c>
      <c r="B1123" t="s">
        <v>1339</v>
      </c>
      <c r="C1123" t="s">
        <v>1343</v>
      </c>
    </row>
    <row r="1124" spans="1:3" x14ac:dyDescent="0.2">
      <c r="A1124" t="s">
        <v>3346</v>
      </c>
      <c r="B1124" t="s">
        <v>1339</v>
      </c>
      <c r="C1124" t="s">
        <v>1343</v>
      </c>
    </row>
    <row r="1125" spans="1:3" x14ac:dyDescent="0.2">
      <c r="A1125" t="s">
        <v>3347</v>
      </c>
      <c r="B1125" t="s">
        <v>1339</v>
      </c>
      <c r="C1125" t="s">
        <v>1343</v>
      </c>
    </row>
    <row r="1126" spans="1:3" x14ac:dyDescent="0.2">
      <c r="A1126" t="s">
        <v>3348</v>
      </c>
      <c r="B1126" t="s">
        <v>1339</v>
      </c>
      <c r="C1126" t="s">
        <v>1343</v>
      </c>
    </row>
    <row r="1127" spans="1:3" x14ac:dyDescent="0.2">
      <c r="A1127" t="s">
        <v>3349</v>
      </c>
      <c r="B1127" t="s">
        <v>1339</v>
      </c>
      <c r="C1127" t="s">
        <v>1343</v>
      </c>
    </row>
    <row r="1128" spans="1:3" x14ac:dyDescent="0.2">
      <c r="A1128" t="s">
        <v>3350</v>
      </c>
      <c r="B1128" t="s">
        <v>1339</v>
      </c>
      <c r="C1128" t="s">
        <v>1343</v>
      </c>
    </row>
    <row r="1129" spans="1:3" x14ac:dyDescent="0.2">
      <c r="A1129" t="s">
        <v>3351</v>
      </c>
      <c r="B1129" t="s">
        <v>1339</v>
      </c>
      <c r="C1129" t="s">
        <v>1343</v>
      </c>
    </row>
    <row r="1130" spans="1:3" x14ac:dyDescent="0.2">
      <c r="A1130" t="s">
        <v>3352</v>
      </c>
      <c r="B1130" t="s">
        <v>1339</v>
      </c>
      <c r="C1130" t="s">
        <v>1343</v>
      </c>
    </row>
    <row r="1131" spans="1:3" x14ac:dyDescent="0.2">
      <c r="A1131" t="s">
        <v>3353</v>
      </c>
      <c r="B1131" t="s">
        <v>1339</v>
      </c>
      <c r="C1131" t="s">
        <v>1343</v>
      </c>
    </row>
    <row r="1132" spans="1:3" x14ac:dyDescent="0.2">
      <c r="A1132" t="s">
        <v>3354</v>
      </c>
      <c r="B1132" t="s">
        <v>1339</v>
      </c>
      <c r="C1132" t="s">
        <v>1343</v>
      </c>
    </row>
    <row r="1133" spans="1:3" x14ac:dyDescent="0.2">
      <c r="A1133" t="s">
        <v>3355</v>
      </c>
      <c r="B1133" t="s">
        <v>1339</v>
      </c>
      <c r="C1133" t="s">
        <v>1343</v>
      </c>
    </row>
    <row r="1134" spans="1:3" x14ac:dyDescent="0.2">
      <c r="A1134" t="s">
        <v>3356</v>
      </c>
      <c r="B1134" t="s">
        <v>1339</v>
      </c>
      <c r="C1134" t="s">
        <v>1343</v>
      </c>
    </row>
    <row r="1135" spans="1:3" x14ac:dyDescent="0.2">
      <c r="A1135" t="s">
        <v>3357</v>
      </c>
      <c r="B1135" t="s">
        <v>1339</v>
      </c>
      <c r="C1135" t="s">
        <v>1343</v>
      </c>
    </row>
    <row r="1136" spans="1:3" x14ac:dyDescent="0.2">
      <c r="A1136" t="s">
        <v>3358</v>
      </c>
      <c r="B1136" t="s">
        <v>1339</v>
      </c>
      <c r="C1136" t="s">
        <v>1343</v>
      </c>
    </row>
    <row r="1137" spans="1:3" x14ac:dyDescent="0.2">
      <c r="A1137" t="s">
        <v>3359</v>
      </c>
      <c r="B1137" t="s">
        <v>1339</v>
      </c>
      <c r="C1137" t="s">
        <v>1343</v>
      </c>
    </row>
    <row r="1138" spans="1:3" x14ac:dyDescent="0.2">
      <c r="A1138" t="s">
        <v>3360</v>
      </c>
      <c r="B1138" t="s">
        <v>1339</v>
      </c>
      <c r="C1138" t="s">
        <v>1343</v>
      </c>
    </row>
    <row r="1139" spans="1:3" x14ac:dyDescent="0.2">
      <c r="A1139" t="s">
        <v>3361</v>
      </c>
      <c r="B1139" t="s">
        <v>1339</v>
      </c>
      <c r="C1139" t="s">
        <v>1343</v>
      </c>
    </row>
    <row r="1140" spans="1:3" x14ac:dyDescent="0.2">
      <c r="A1140" t="s">
        <v>3362</v>
      </c>
      <c r="B1140" t="s">
        <v>1339</v>
      </c>
      <c r="C1140" t="s">
        <v>1343</v>
      </c>
    </row>
    <row r="1141" spans="1:3" x14ac:dyDescent="0.2">
      <c r="A1141" t="s">
        <v>3363</v>
      </c>
      <c r="B1141" t="s">
        <v>1339</v>
      </c>
      <c r="C1141" t="s">
        <v>1343</v>
      </c>
    </row>
    <row r="1142" spans="1:3" x14ac:dyDescent="0.2">
      <c r="A1142" t="s">
        <v>3364</v>
      </c>
      <c r="B1142" t="s">
        <v>1339</v>
      </c>
      <c r="C1142" t="s">
        <v>1343</v>
      </c>
    </row>
    <row r="1143" spans="1:3" x14ac:dyDescent="0.2">
      <c r="A1143" t="s">
        <v>3365</v>
      </c>
      <c r="B1143" t="s">
        <v>1339</v>
      </c>
      <c r="C1143" t="s">
        <v>1343</v>
      </c>
    </row>
    <row r="1144" spans="1:3" x14ac:dyDescent="0.2">
      <c r="A1144" t="s">
        <v>3366</v>
      </c>
      <c r="B1144" t="s">
        <v>1339</v>
      </c>
      <c r="C1144" t="s">
        <v>1343</v>
      </c>
    </row>
    <row r="1145" spans="1:3" x14ac:dyDescent="0.2">
      <c r="A1145" t="s">
        <v>3367</v>
      </c>
      <c r="B1145" t="s">
        <v>1339</v>
      </c>
      <c r="C1145" t="s">
        <v>1343</v>
      </c>
    </row>
    <row r="1146" spans="1:3" x14ac:dyDescent="0.2">
      <c r="A1146" t="s">
        <v>3368</v>
      </c>
      <c r="B1146" t="s">
        <v>1339</v>
      </c>
      <c r="C1146" t="s">
        <v>1343</v>
      </c>
    </row>
    <row r="1147" spans="1:3" x14ac:dyDescent="0.2">
      <c r="A1147" t="s">
        <v>3369</v>
      </c>
      <c r="B1147" t="s">
        <v>1339</v>
      </c>
      <c r="C1147" t="s">
        <v>1343</v>
      </c>
    </row>
    <row r="1148" spans="1:3" x14ac:dyDescent="0.2">
      <c r="A1148" t="s">
        <v>3370</v>
      </c>
      <c r="B1148" t="s">
        <v>1339</v>
      </c>
      <c r="C1148" t="s">
        <v>1343</v>
      </c>
    </row>
    <row r="1149" spans="1:3" x14ac:dyDescent="0.2">
      <c r="A1149" t="s">
        <v>3371</v>
      </c>
      <c r="B1149" t="s">
        <v>1339</v>
      </c>
      <c r="C1149" t="s">
        <v>1343</v>
      </c>
    </row>
    <row r="1150" spans="1:3" x14ac:dyDescent="0.2">
      <c r="A1150" t="s">
        <v>3372</v>
      </c>
      <c r="B1150" t="s">
        <v>1339</v>
      </c>
      <c r="C1150" t="s">
        <v>1343</v>
      </c>
    </row>
    <row r="1151" spans="1:3" x14ac:dyDescent="0.2">
      <c r="A1151" t="s">
        <v>3373</v>
      </c>
      <c r="B1151" t="s">
        <v>1339</v>
      </c>
      <c r="C1151" t="s">
        <v>1343</v>
      </c>
    </row>
    <row r="1152" spans="1:3" x14ac:dyDescent="0.2">
      <c r="A1152" t="s">
        <v>3374</v>
      </c>
      <c r="B1152" t="s">
        <v>1339</v>
      </c>
      <c r="C1152" t="s">
        <v>1343</v>
      </c>
    </row>
    <row r="1153" spans="1:3" x14ac:dyDescent="0.2">
      <c r="A1153" t="s">
        <v>3375</v>
      </c>
      <c r="B1153" t="s">
        <v>1339</v>
      </c>
      <c r="C1153" t="s">
        <v>1343</v>
      </c>
    </row>
    <row r="1154" spans="1:3" x14ac:dyDescent="0.2">
      <c r="A1154" t="s">
        <v>3376</v>
      </c>
      <c r="B1154" t="s">
        <v>1339</v>
      </c>
      <c r="C1154" t="s">
        <v>1343</v>
      </c>
    </row>
    <row r="1155" spans="1:3" x14ac:dyDescent="0.2">
      <c r="A1155" t="s">
        <v>3377</v>
      </c>
      <c r="B1155" t="s">
        <v>1339</v>
      </c>
      <c r="C1155" t="s">
        <v>1343</v>
      </c>
    </row>
    <row r="1156" spans="1:3" x14ac:dyDescent="0.2">
      <c r="A1156" t="s">
        <v>3378</v>
      </c>
      <c r="B1156" t="s">
        <v>1339</v>
      </c>
      <c r="C1156" t="s">
        <v>1343</v>
      </c>
    </row>
    <row r="1157" spans="1:3" x14ac:dyDescent="0.2">
      <c r="A1157" t="s">
        <v>3379</v>
      </c>
      <c r="B1157" t="s">
        <v>1339</v>
      </c>
      <c r="C1157" t="s">
        <v>1343</v>
      </c>
    </row>
    <row r="1158" spans="1:3" x14ac:dyDescent="0.2">
      <c r="A1158" t="s">
        <v>3380</v>
      </c>
      <c r="B1158" t="s">
        <v>1339</v>
      </c>
      <c r="C1158" t="s">
        <v>1343</v>
      </c>
    </row>
    <row r="1159" spans="1:3" x14ac:dyDescent="0.2">
      <c r="A1159" t="s">
        <v>3381</v>
      </c>
      <c r="B1159" t="s">
        <v>1339</v>
      </c>
      <c r="C1159" t="s">
        <v>1343</v>
      </c>
    </row>
    <row r="1160" spans="1:3" x14ac:dyDescent="0.2">
      <c r="A1160" t="s">
        <v>3382</v>
      </c>
      <c r="B1160" t="s">
        <v>1339</v>
      </c>
      <c r="C1160" t="s">
        <v>1343</v>
      </c>
    </row>
    <row r="1161" spans="1:3" x14ac:dyDescent="0.2">
      <c r="A1161" t="s">
        <v>3383</v>
      </c>
      <c r="B1161" t="s">
        <v>1339</v>
      </c>
      <c r="C1161" t="s">
        <v>1343</v>
      </c>
    </row>
    <row r="1162" spans="1:3" x14ac:dyDescent="0.2">
      <c r="A1162" t="s">
        <v>3384</v>
      </c>
      <c r="B1162" t="s">
        <v>1339</v>
      </c>
      <c r="C1162" t="s">
        <v>1343</v>
      </c>
    </row>
    <row r="1163" spans="1:3" x14ac:dyDescent="0.2">
      <c r="A1163" t="s">
        <v>3385</v>
      </c>
      <c r="B1163" t="s">
        <v>1339</v>
      </c>
      <c r="C1163" t="s">
        <v>1343</v>
      </c>
    </row>
    <row r="1164" spans="1:3" x14ac:dyDescent="0.2">
      <c r="A1164" t="s">
        <v>3386</v>
      </c>
      <c r="B1164" t="s">
        <v>1339</v>
      </c>
      <c r="C1164" t="s">
        <v>1343</v>
      </c>
    </row>
    <row r="1165" spans="1:3" x14ac:dyDescent="0.2">
      <c r="A1165" t="s">
        <v>3387</v>
      </c>
      <c r="B1165" t="s">
        <v>1339</v>
      </c>
      <c r="C1165" t="s">
        <v>1343</v>
      </c>
    </row>
    <row r="1166" spans="1:3" x14ac:dyDescent="0.2">
      <c r="A1166" t="s">
        <v>3388</v>
      </c>
      <c r="B1166" t="s">
        <v>1339</v>
      </c>
      <c r="C1166" t="s">
        <v>1343</v>
      </c>
    </row>
    <row r="1167" spans="1:3" x14ac:dyDescent="0.2">
      <c r="A1167" t="s">
        <v>3389</v>
      </c>
      <c r="B1167" t="s">
        <v>1339</v>
      </c>
      <c r="C1167" t="s">
        <v>1343</v>
      </c>
    </row>
    <row r="1168" spans="1:3" x14ac:dyDescent="0.2">
      <c r="A1168" t="s">
        <v>3390</v>
      </c>
      <c r="B1168" t="s">
        <v>1339</v>
      </c>
      <c r="C1168" t="s">
        <v>1343</v>
      </c>
    </row>
    <row r="1169" spans="1:3" x14ac:dyDescent="0.2">
      <c r="A1169" t="s">
        <v>3391</v>
      </c>
      <c r="B1169" t="s">
        <v>1339</v>
      </c>
      <c r="C1169" t="s">
        <v>1343</v>
      </c>
    </row>
    <row r="1170" spans="1:3" x14ac:dyDescent="0.2">
      <c r="A1170" t="s">
        <v>3392</v>
      </c>
      <c r="B1170" t="s">
        <v>1339</v>
      </c>
      <c r="C1170" t="s">
        <v>1343</v>
      </c>
    </row>
    <row r="1171" spans="1:3" x14ac:dyDescent="0.2">
      <c r="A1171" t="s">
        <v>3393</v>
      </c>
      <c r="B1171" t="s">
        <v>1339</v>
      </c>
      <c r="C1171" t="s">
        <v>1343</v>
      </c>
    </row>
    <row r="1172" spans="1:3" x14ac:dyDescent="0.2">
      <c r="A1172" t="s">
        <v>3394</v>
      </c>
      <c r="B1172" t="s">
        <v>1339</v>
      </c>
      <c r="C1172" t="s">
        <v>1343</v>
      </c>
    </row>
    <row r="1173" spans="1:3" x14ac:dyDescent="0.2">
      <c r="A1173" t="s">
        <v>3395</v>
      </c>
      <c r="B1173" t="s">
        <v>1339</v>
      </c>
      <c r="C1173" t="s">
        <v>1343</v>
      </c>
    </row>
    <row r="1174" spans="1:3" x14ac:dyDescent="0.2">
      <c r="A1174" t="s">
        <v>3396</v>
      </c>
      <c r="B1174" t="s">
        <v>1339</v>
      </c>
      <c r="C1174" t="s">
        <v>1343</v>
      </c>
    </row>
    <row r="1175" spans="1:3" x14ac:dyDescent="0.2">
      <c r="A1175" t="s">
        <v>3397</v>
      </c>
      <c r="B1175" t="s">
        <v>1339</v>
      </c>
      <c r="C1175" t="s">
        <v>1343</v>
      </c>
    </row>
    <row r="1176" spans="1:3" x14ac:dyDescent="0.2">
      <c r="A1176" t="s">
        <v>3398</v>
      </c>
      <c r="B1176" t="s">
        <v>1339</v>
      </c>
      <c r="C1176" t="s">
        <v>1343</v>
      </c>
    </row>
    <row r="1177" spans="1:3" x14ac:dyDescent="0.2">
      <c r="A1177" t="s">
        <v>3399</v>
      </c>
      <c r="B1177" t="s">
        <v>1339</v>
      </c>
      <c r="C1177" t="s">
        <v>1343</v>
      </c>
    </row>
    <row r="1178" spans="1:3" x14ac:dyDescent="0.2">
      <c r="A1178" t="s">
        <v>3400</v>
      </c>
      <c r="B1178" t="s">
        <v>1339</v>
      </c>
      <c r="C1178" t="s">
        <v>1343</v>
      </c>
    </row>
    <row r="1179" spans="1:3" x14ac:dyDescent="0.2">
      <c r="A1179" t="s">
        <v>3401</v>
      </c>
      <c r="B1179" t="s">
        <v>1339</v>
      </c>
      <c r="C1179" t="s">
        <v>1343</v>
      </c>
    </row>
    <row r="1180" spans="1:3" x14ac:dyDescent="0.2">
      <c r="A1180" t="s">
        <v>3402</v>
      </c>
      <c r="B1180" t="s">
        <v>1339</v>
      </c>
      <c r="C1180" t="s">
        <v>1343</v>
      </c>
    </row>
    <row r="1181" spans="1:3" x14ac:dyDescent="0.2">
      <c r="A1181" t="s">
        <v>3403</v>
      </c>
      <c r="B1181" t="s">
        <v>1339</v>
      </c>
      <c r="C1181" t="s">
        <v>1343</v>
      </c>
    </row>
    <row r="1182" spans="1:3" x14ac:dyDescent="0.2">
      <c r="A1182" t="s">
        <v>3404</v>
      </c>
      <c r="B1182" t="s">
        <v>1339</v>
      </c>
      <c r="C1182" t="s">
        <v>1343</v>
      </c>
    </row>
    <row r="1183" spans="1:3" x14ac:dyDescent="0.2">
      <c r="A1183" t="s">
        <v>3405</v>
      </c>
      <c r="B1183" t="s">
        <v>1339</v>
      </c>
      <c r="C1183" t="s">
        <v>1343</v>
      </c>
    </row>
    <row r="1184" spans="1:3" x14ac:dyDescent="0.2">
      <c r="A1184" t="s">
        <v>3406</v>
      </c>
      <c r="B1184" t="s">
        <v>1339</v>
      </c>
      <c r="C1184" t="s">
        <v>1343</v>
      </c>
    </row>
    <row r="1185" spans="1:3" x14ac:dyDescent="0.2">
      <c r="A1185" t="s">
        <v>3407</v>
      </c>
      <c r="B1185" t="s">
        <v>1339</v>
      </c>
      <c r="C1185" t="s">
        <v>1343</v>
      </c>
    </row>
    <row r="1186" spans="1:3" x14ac:dyDescent="0.2">
      <c r="A1186" t="s">
        <v>3408</v>
      </c>
      <c r="B1186" t="s">
        <v>1339</v>
      </c>
      <c r="C1186" t="s">
        <v>1343</v>
      </c>
    </row>
    <row r="1187" spans="1:3" x14ac:dyDescent="0.2">
      <c r="A1187" t="s">
        <v>3409</v>
      </c>
      <c r="B1187" t="s">
        <v>1339</v>
      </c>
      <c r="C1187" t="s">
        <v>1343</v>
      </c>
    </row>
    <row r="1188" spans="1:3" x14ac:dyDescent="0.2">
      <c r="A1188" t="s">
        <v>3410</v>
      </c>
      <c r="B1188" t="s">
        <v>1339</v>
      </c>
      <c r="C1188" t="s">
        <v>1343</v>
      </c>
    </row>
    <row r="1189" spans="1:3" x14ac:dyDescent="0.2">
      <c r="A1189" t="s">
        <v>3411</v>
      </c>
      <c r="B1189" t="s">
        <v>1339</v>
      </c>
      <c r="C1189" t="s">
        <v>1343</v>
      </c>
    </row>
    <row r="1190" spans="1:3" x14ac:dyDescent="0.2">
      <c r="A1190" t="s">
        <v>3412</v>
      </c>
      <c r="B1190" t="s">
        <v>1339</v>
      </c>
      <c r="C1190" t="s">
        <v>1343</v>
      </c>
    </row>
    <row r="1191" spans="1:3" x14ac:dyDescent="0.2">
      <c r="A1191" t="s">
        <v>3413</v>
      </c>
      <c r="B1191" t="s">
        <v>1339</v>
      </c>
      <c r="C1191" t="s">
        <v>1343</v>
      </c>
    </row>
    <row r="1192" spans="1:3" x14ac:dyDescent="0.2">
      <c r="A1192" t="s">
        <v>3414</v>
      </c>
      <c r="B1192" t="s">
        <v>1339</v>
      </c>
      <c r="C1192" t="s">
        <v>1343</v>
      </c>
    </row>
    <row r="1193" spans="1:3" x14ac:dyDescent="0.2">
      <c r="A1193" t="s">
        <v>3415</v>
      </c>
      <c r="B1193" t="s">
        <v>1339</v>
      </c>
      <c r="C1193" t="s">
        <v>1343</v>
      </c>
    </row>
    <row r="1194" spans="1:3" x14ac:dyDescent="0.2">
      <c r="A1194" t="s">
        <v>3416</v>
      </c>
      <c r="B1194" t="s">
        <v>1339</v>
      </c>
      <c r="C1194" t="s">
        <v>1343</v>
      </c>
    </row>
    <row r="1195" spans="1:3" x14ac:dyDescent="0.2">
      <c r="A1195" t="s">
        <v>3417</v>
      </c>
      <c r="B1195" t="s">
        <v>1339</v>
      </c>
      <c r="C1195" t="s">
        <v>1343</v>
      </c>
    </row>
    <row r="1196" spans="1:3" x14ac:dyDescent="0.2">
      <c r="A1196" t="s">
        <v>3418</v>
      </c>
      <c r="B1196" t="s">
        <v>1339</v>
      </c>
      <c r="C1196" t="s">
        <v>1343</v>
      </c>
    </row>
    <row r="1197" spans="1:3" x14ac:dyDescent="0.2">
      <c r="A1197" t="s">
        <v>3419</v>
      </c>
      <c r="B1197" t="s">
        <v>1339</v>
      </c>
      <c r="C1197" t="s">
        <v>1343</v>
      </c>
    </row>
    <row r="1198" spans="1:3" x14ac:dyDescent="0.2">
      <c r="A1198" t="s">
        <v>3420</v>
      </c>
      <c r="B1198" t="s">
        <v>1339</v>
      </c>
      <c r="C1198" t="s">
        <v>1343</v>
      </c>
    </row>
    <row r="1199" spans="1:3" x14ac:dyDescent="0.2">
      <c r="A1199" t="s">
        <v>3421</v>
      </c>
      <c r="B1199" t="s">
        <v>1339</v>
      </c>
      <c r="C1199" t="s">
        <v>1343</v>
      </c>
    </row>
    <row r="1200" spans="1:3" x14ac:dyDescent="0.2">
      <c r="A1200" t="s">
        <v>3422</v>
      </c>
      <c r="B1200" t="s">
        <v>1339</v>
      </c>
      <c r="C1200" t="s">
        <v>1343</v>
      </c>
    </row>
    <row r="1201" spans="1:3" x14ac:dyDescent="0.2">
      <c r="A1201" t="s">
        <v>3423</v>
      </c>
      <c r="B1201" t="s">
        <v>1339</v>
      </c>
      <c r="C1201" t="s">
        <v>1343</v>
      </c>
    </row>
    <row r="1202" spans="1:3" x14ac:dyDescent="0.2">
      <c r="A1202" t="s">
        <v>3424</v>
      </c>
      <c r="B1202" t="s">
        <v>1339</v>
      </c>
      <c r="C1202" t="s">
        <v>1343</v>
      </c>
    </row>
    <row r="1203" spans="1:3" x14ac:dyDescent="0.2">
      <c r="A1203" t="s">
        <v>3425</v>
      </c>
      <c r="B1203" t="s">
        <v>1339</v>
      </c>
      <c r="C1203" t="s">
        <v>1343</v>
      </c>
    </row>
    <row r="1204" spans="1:3" x14ac:dyDescent="0.2">
      <c r="A1204" t="s">
        <v>3426</v>
      </c>
      <c r="B1204" t="s">
        <v>1339</v>
      </c>
      <c r="C1204" t="s">
        <v>1343</v>
      </c>
    </row>
    <row r="1205" spans="1:3" x14ac:dyDescent="0.2">
      <c r="A1205" t="s">
        <v>3427</v>
      </c>
      <c r="B1205" t="s">
        <v>1339</v>
      </c>
      <c r="C1205" t="s">
        <v>1343</v>
      </c>
    </row>
    <row r="1206" spans="1:3" x14ac:dyDescent="0.2">
      <c r="A1206" t="s">
        <v>3428</v>
      </c>
      <c r="B1206" t="s">
        <v>1339</v>
      </c>
      <c r="C1206" t="s">
        <v>1343</v>
      </c>
    </row>
    <row r="1207" spans="1:3" x14ac:dyDescent="0.2">
      <c r="A1207" t="s">
        <v>3429</v>
      </c>
      <c r="B1207" t="s">
        <v>1339</v>
      </c>
      <c r="C1207" t="s">
        <v>1343</v>
      </c>
    </row>
    <row r="1208" spans="1:3" x14ac:dyDescent="0.2">
      <c r="A1208" t="s">
        <v>3430</v>
      </c>
      <c r="B1208" t="s">
        <v>1339</v>
      </c>
      <c r="C1208" t="s">
        <v>1343</v>
      </c>
    </row>
    <row r="1209" spans="1:3" x14ac:dyDescent="0.2">
      <c r="A1209" t="s">
        <v>3431</v>
      </c>
      <c r="B1209" t="s">
        <v>1339</v>
      </c>
      <c r="C1209" t="s">
        <v>1343</v>
      </c>
    </row>
    <row r="1210" spans="1:3" x14ac:dyDescent="0.2">
      <c r="A1210" t="s">
        <v>3432</v>
      </c>
      <c r="B1210" t="s">
        <v>1339</v>
      </c>
      <c r="C1210" t="s">
        <v>1343</v>
      </c>
    </row>
    <row r="1211" spans="1:3" x14ac:dyDescent="0.2">
      <c r="A1211" t="s">
        <v>3433</v>
      </c>
      <c r="B1211" t="s">
        <v>1339</v>
      </c>
      <c r="C1211" t="s">
        <v>1343</v>
      </c>
    </row>
    <row r="1212" spans="1:3" x14ac:dyDescent="0.2">
      <c r="A1212" t="s">
        <v>3434</v>
      </c>
      <c r="B1212" t="s">
        <v>1339</v>
      </c>
      <c r="C1212" t="s">
        <v>1343</v>
      </c>
    </row>
    <row r="1213" spans="1:3" x14ac:dyDescent="0.2">
      <c r="A1213" t="s">
        <v>3435</v>
      </c>
      <c r="B1213" t="s">
        <v>1339</v>
      </c>
      <c r="C1213" t="s">
        <v>1343</v>
      </c>
    </row>
    <row r="1214" spans="1:3" x14ac:dyDescent="0.2">
      <c r="A1214" t="s">
        <v>3436</v>
      </c>
      <c r="B1214" t="s">
        <v>1339</v>
      </c>
      <c r="C1214" t="s">
        <v>1343</v>
      </c>
    </row>
    <row r="1215" spans="1:3" x14ac:dyDescent="0.2">
      <c r="A1215" t="s">
        <v>3437</v>
      </c>
      <c r="B1215" t="s">
        <v>1339</v>
      </c>
      <c r="C1215" t="s">
        <v>1343</v>
      </c>
    </row>
    <row r="1216" spans="1:3" x14ac:dyDescent="0.2">
      <c r="A1216" t="s">
        <v>3438</v>
      </c>
      <c r="B1216" t="s">
        <v>1339</v>
      </c>
      <c r="C1216" t="s">
        <v>1343</v>
      </c>
    </row>
    <row r="1217" spans="1:3" x14ac:dyDescent="0.2">
      <c r="A1217" t="s">
        <v>3439</v>
      </c>
      <c r="B1217" t="s">
        <v>1339</v>
      </c>
      <c r="C1217" t="s">
        <v>1343</v>
      </c>
    </row>
    <row r="1218" spans="1:3" x14ac:dyDescent="0.2">
      <c r="A1218" t="s">
        <v>3440</v>
      </c>
      <c r="B1218" t="s">
        <v>1339</v>
      </c>
      <c r="C1218" t="s">
        <v>1343</v>
      </c>
    </row>
    <row r="1219" spans="1:3" x14ac:dyDescent="0.2">
      <c r="A1219" t="s">
        <v>3441</v>
      </c>
      <c r="B1219" t="s">
        <v>1339</v>
      </c>
      <c r="C1219" t="s">
        <v>1343</v>
      </c>
    </row>
    <row r="1220" spans="1:3" x14ac:dyDescent="0.2">
      <c r="A1220" t="s">
        <v>3442</v>
      </c>
      <c r="B1220" t="s">
        <v>1339</v>
      </c>
      <c r="C1220" t="s">
        <v>1343</v>
      </c>
    </row>
    <row r="1221" spans="1:3" x14ac:dyDescent="0.2">
      <c r="A1221" t="s">
        <v>3443</v>
      </c>
      <c r="B1221" t="s">
        <v>1339</v>
      </c>
      <c r="C1221" t="s">
        <v>1343</v>
      </c>
    </row>
    <row r="1222" spans="1:3" x14ac:dyDescent="0.2">
      <c r="A1222" t="s">
        <v>3444</v>
      </c>
      <c r="B1222" t="s">
        <v>1339</v>
      </c>
      <c r="C1222" t="s">
        <v>1343</v>
      </c>
    </row>
    <row r="1223" spans="1:3" x14ac:dyDescent="0.2">
      <c r="A1223" t="s">
        <v>3445</v>
      </c>
      <c r="B1223" t="s">
        <v>1339</v>
      </c>
      <c r="C1223" t="s">
        <v>1343</v>
      </c>
    </row>
    <row r="1224" spans="1:3" x14ac:dyDescent="0.2">
      <c r="A1224" t="s">
        <v>3446</v>
      </c>
      <c r="B1224" t="s">
        <v>1339</v>
      </c>
      <c r="C1224" t="s">
        <v>1343</v>
      </c>
    </row>
    <row r="1225" spans="1:3" x14ac:dyDescent="0.2">
      <c r="A1225" t="s">
        <v>3447</v>
      </c>
      <c r="B1225" t="s">
        <v>1339</v>
      </c>
      <c r="C1225" t="s">
        <v>1343</v>
      </c>
    </row>
    <row r="1226" spans="1:3" x14ac:dyDescent="0.2">
      <c r="A1226" t="s">
        <v>3448</v>
      </c>
      <c r="B1226" t="s">
        <v>1339</v>
      </c>
      <c r="C1226" t="s">
        <v>1343</v>
      </c>
    </row>
    <row r="1227" spans="1:3" x14ac:dyDescent="0.2">
      <c r="A1227" t="s">
        <v>3449</v>
      </c>
      <c r="B1227" t="s">
        <v>1339</v>
      </c>
      <c r="C1227" t="s">
        <v>1343</v>
      </c>
    </row>
    <row r="1228" spans="1:3" x14ac:dyDescent="0.2">
      <c r="A1228" t="s">
        <v>3450</v>
      </c>
      <c r="B1228" t="s">
        <v>1339</v>
      </c>
      <c r="C1228" t="s">
        <v>1343</v>
      </c>
    </row>
    <row r="1229" spans="1:3" x14ac:dyDescent="0.2">
      <c r="A1229" t="s">
        <v>3451</v>
      </c>
      <c r="B1229" t="s">
        <v>1339</v>
      </c>
      <c r="C1229" t="s">
        <v>1343</v>
      </c>
    </row>
    <row r="1230" spans="1:3" x14ac:dyDescent="0.2">
      <c r="A1230" t="s">
        <v>3452</v>
      </c>
      <c r="B1230" t="s">
        <v>1339</v>
      </c>
      <c r="C1230" t="s">
        <v>1343</v>
      </c>
    </row>
    <row r="1231" spans="1:3" x14ac:dyDescent="0.2">
      <c r="A1231" t="s">
        <v>3453</v>
      </c>
      <c r="B1231" t="s">
        <v>1339</v>
      </c>
      <c r="C1231" t="s">
        <v>1343</v>
      </c>
    </row>
    <row r="1232" spans="1:3" x14ac:dyDescent="0.2">
      <c r="A1232" t="s">
        <v>3454</v>
      </c>
      <c r="B1232" t="s">
        <v>1339</v>
      </c>
      <c r="C1232" t="s">
        <v>1343</v>
      </c>
    </row>
    <row r="1233" spans="1:3" x14ac:dyDescent="0.2">
      <c r="A1233" t="s">
        <v>3455</v>
      </c>
      <c r="B1233" t="s">
        <v>1339</v>
      </c>
      <c r="C1233" t="s">
        <v>1343</v>
      </c>
    </row>
    <row r="1234" spans="1:3" x14ac:dyDescent="0.2">
      <c r="A1234" t="s">
        <v>3456</v>
      </c>
      <c r="B1234" t="s">
        <v>1339</v>
      </c>
      <c r="C1234" t="s">
        <v>1343</v>
      </c>
    </row>
    <row r="1235" spans="1:3" x14ac:dyDescent="0.2">
      <c r="A1235" t="s">
        <v>3457</v>
      </c>
      <c r="B1235" t="s">
        <v>1339</v>
      </c>
      <c r="C1235" t="s">
        <v>1343</v>
      </c>
    </row>
    <row r="1236" spans="1:3" x14ac:dyDescent="0.2">
      <c r="A1236" t="s">
        <v>3458</v>
      </c>
      <c r="B1236" t="s">
        <v>1339</v>
      </c>
      <c r="C1236" t="s">
        <v>1343</v>
      </c>
    </row>
    <row r="1237" spans="1:3" x14ac:dyDescent="0.2">
      <c r="A1237" t="s">
        <v>3459</v>
      </c>
      <c r="B1237" t="s">
        <v>1339</v>
      </c>
      <c r="C1237" t="s">
        <v>1343</v>
      </c>
    </row>
    <row r="1238" spans="1:3" x14ac:dyDescent="0.2">
      <c r="A1238" t="s">
        <v>3460</v>
      </c>
      <c r="B1238" t="s">
        <v>1339</v>
      </c>
      <c r="C1238" t="s">
        <v>1343</v>
      </c>
    </row>
    <row r="1239" spans="1:3" x14ac:dyDescent="0.2">
      <c r="A1239" t="s">
        <v>3461</v>
      </c>
      <c r="B1239" t="s">
        <v>1339</v>
      </c>
      <c r="C1239" t="s">
        <v>1343</v>
      </c>
    </row>
    <row r="1240" spans="1:3" x14ac:dyDescent="0.2">
      <c r="A1240" t="s">
        <v>3462</v>
      </c>
      <c r="B1240" t="s">
        <v>1339</v>
      </c>
      <c r="C1240" t="s">
        <v>1343</v>
      </c>
    </row>
    <row r="1241" spans="1:3" x14ac:dyDescent="0.2">
      <c r="A1241" t="s">
        <v>3463</v>
      </c>
      <c r="B1241" t="s">
        <v>1339</v>
      </c>
      <c r="C1241" t="s">
        <v>1343</v>
      </c>
    </row>
    <row r="1242" spans="1:3" x14ac:dyDescent="0.2">
      <c r="A1242" t="s">
        <v>3464</v>
      </c>
      <c r="B1242" t="s">
        <v>1339</v>
      </c>
      <c r="C1242" t="s">
        <v>1343</v>
      </c>
    </row>
    <row r="1243" spans="1:3" x14ac:dyDescent="0.2">
      <c r="A1243" t="s">
        <v>3465</v>
      </c>
      <c r="B1243" t="s">
        <v>1339</v>
      </c>
      <c r="C1243" t="s">
        <v>1343</v>
      </c>
    </row>
    <row r="1244" spans="1:3" x14ac:dyDescent="0.2">
      <c r="A1244" t="s">
        <v>3466</v>
      </c>
      <c r="B1244" t="s">
        <v>1339</v>
      </c>
      <c r="C1244" t="s">
        <v>1343</v>
      </c>
    </row>
    <row r="1245" spans="1:3" x14ac:dyDescent="0.2">
      <c r="A1245" t="s">
        <v>3467</v>
      </c>
      <c r="B1245" t="s">
        <v>1339</v>
      </c>
      <c r="C1245" t="s">
        <v>1343</v>
      </c>
    </row>
    <row r="1246" spans="1:3" x14ac:dyDescent="0.2">
      <c r="A1246" t="s">
        <v>3468</v>
      </c>
      <c r="B1246" t="s">
        <v>1339</v>
      </c>
      <c r="C1246" t="s">
        <v>1343</v>
      </c>
    </row>
    <row r="1247" spans="1:3" x14ac:dyDescent="0.2">
      <c r="A1247" t="s">
        <v>3469</v>
      </c>
      <c r="B1247" t="s">
        <v>1339</v>
      </c>
      <c r="C1247" t="s">
        <v>1343</v>
      </c>
    </row>
    <row r="1248" spans="1:3" x14ac:dyDescent="0.2">
      <c r="A1248" t="s">
        <v>3470</v>
      </c>
      <c r="B1248" t="s">
        <v>1339</v>
      </c>
      <c r="C1248" t="s">
        <v>1343</v>
      </c>
    </row>
    <row r="1249" spans="1:3" x14ac:dyDescent="0.2">
      <c r="A1249" t="s">
        <v>3471</v>
      </c>
      <c r="B1249" t="s">
        <v>1339</v>
      </c>
      <c r="C1249" t="s">
        <v>1343</v>
      </c>
    </row>
    <row r="1250" spans="1:3" x14ac:dyDescent="0.2">
      <c r="A1250" t="s">
        <v>3472</v>
      </c>
      <c r="B1250" t="s">
        <v>1339</v>
      </c>
      <c r="C1250" t="s">
        <v>1343</v>
      </c>
    </row>
    <row r="1251" spans="1:3" x14ac:dyDescent="0.2">
      <c r="A1251" t="s">
        <v>3473</v>
      </c>
      <c r="B1251" t="s">
        <v>1339</v>
      </c>
      <c r="C1251" t="s">
        <v>1343</v>
      </c>
    </row>
    <row r="1252" spans="1:3" x14ac:dyDescent="0.2">
      <c r="A1252" t="s">
        <v>3474</v>
      </c>
      <c r="B1252" t="s">
        <v>1339</v>
      </c>
      <c r="C1252" t="s">
        <v>1343</v>
      </c>
    </row>
    <row r="1253" spans="1:3" x14ac:dyDescent="0.2">
      <c r="A1253" t="s">
        <v>3475</v>
      </c>
      <c r="B1253" t="s">
        <v>1339</v>
      </c>
      <c r="C1253" t="s">
        <v>1343</v>
      </c>
    </row>
    <row r="1254" spans="1:3" x14ac:dyDescent="0.2">
      <c r="A1254" t="s">
        <v>3476</v>
      </c>
      <c r="B1254" t="s">
        <v>1339</v>
      </c>
      <c r="C1254" t="s">
        <v>1343</v>
      </c>
    </row>
    <row r="1255" spans="1:3" x14ac:dyDescent="0.2">
      <c r="A1255" t="s">
        <v>3477</v>
      </c>
      <c r="B1255" t="s">
        <v>1339</v>
      </c>
      <c r="C1255" t="s">
        <v>1343</v>
      </c>
    </row>
    <row r="1256" spans="1:3" x14ac:dyDescent="0.2">
      <c r="A1256" t="s">
        <v>3478</v>
      </c>
      <c r="B1256" t="s">
        <v>1339</v>
      </c>
      <c r="C1256" t="s">
        <v>1343</v>
      </c>
    </row>
    <row r="1257" spans="1:3" x14ac:dyDescent="0.2">
      <c r="A1257" t="s">
        <v>3479</v>
      </c>
      <c r="B1257" t="s">
        <v>1339</v>
      </c>
      <c r="C1257" t="s">
        <v>1343</v>
      </c>
    </row>
    <row r="1258" spans="1:3" x14ac:dyDescent="0.2">
      <c r="A1258" t="s">
        <v>3480</v>
      </c>
      <c r="B1258" t="s">
        <v>1339</v>
      </c>
      <c r="C1258" t="s">
        <v>1343</v>
      </c>
    </row>
    <row r="1259" spans="1:3" x14ac:dyDescent="0.2">
      <c r="A1259" t="s">
        <v>3481</v>
      </c>
      <c r="B1259" t="s">
        <v>1339</v>
      </c>
      <c r="C1259" t="s">
        <v>1343</v>
      </c>
    </row>
    <row r="1260" spans="1:3" x14ac:dyDescent="0.2">
      <c r="A1260" t="s">
        <v>3482</v>
      </c>
      <c r="B1260" t="s">
        <v>1339</v>
      </c>
      <c r="C1260" t="s">
        <v>1343</v>
      </c>
    </row>
    <row r="1261" spans="1:3" x14ac:dyDescent="0.2">
      <c r="A1261" t="s">
        <v>3483</v>
      </c>
      <c r="B1261" t="s">
        <v>1339</v>
      </c>
      <c r="C1261" t="s">
        <v>1343</v>
      </c>
    </row>
    <row r="1262" spans="1:3" x14ac:dyDescent="0.2">
      <c r="A1262" t="s">
        <v>3484</v>
      </c>
      <c r="B1262" t="s">
        <v>1339</v>
      </c>
      <c r="C1262" t="s">
        <v>1343</v>
      </c>
    </row>
    <row r="1263" spans="1:3" x14ac:dyDescent="0.2">
      <c r="A1263" t="s">
        <v>3485</v>
      </c>
      <c r="B1263" t="s">
        <v>1339</v>
      </c>
      <c r="C1263" t="s">
        <v>1343</v>
      </c>
    </row>
    <row r="1264" spans="1:3" x14ac:dyDescent="0.2">
      <c r="A1264" t="s">
        <v>3486</v>
      </c>
      <c r="B1264" t="s">
        <v>1339</v>
      </c>
      <c r="C1264" t="s">
        <v>1343</v>
      </c>
    </row>
    <row r="1265" spans="1:3" x14ac:dyDescent="0.2">
      <c r="A1265" t="s">
        <v>3487</v>
      </c>
      <c r="B1265" t="s">
        <v>1339</v>
      </c>
      <c r="C1265" t="s">
        <v>1343</v>
      </c>
    </row>
    <row r="1266" spans="1:3" x14ac:dyDescent="0.2">
      <c r="A1266" t="s">
        <v>3488</v>
      </c>
      <c r="B1266" t="s">
        <v>1339</v>
      </c>
      <c r="C1266" t="s">
        <v>1343</v>
      </c>
    </row>
    <row r="1267" spans="1:3" x14ac:dyDescent="0.2">
      <c r="A1267" t="s">
        <v>3489</v>
      </c>
      <c r="B1267" t="s">
        <v>1339</v>
      </c>
      <c r="C1267" t="s">
        <v>1343</v>
      </c>
    </row>
    <row r="1268" spans="1:3" x14ac:dyDescent="0.2">
      <c r="A1268" t="s">
        <v>3490</v>
      </c>
      <c r="B1268" t="s">
        <v>1339</v>
      </c>
      <c r="C1268" t="s">
        <v>1343</v>
      </c>
    </row>
    <row r="1269" spans="1:3" x14ac:dyDescent="0.2">
      <c r="A1269" t="s">
        <v>3491</v>
      </c>
      <c r="B1269" t="s">
        <v>1339</v>
      </c>
      <c r="C1269" t="s">
        <v>1343</v>
      </c>
    </row>
    <row r="1270" spans="1:3" x14ac:dyDescent="0.2">
      <c r="A1270" t="s">
        <v>3492</v>
      </c>
      <c r="B1270" t="s">
        <v>1339</v>
      </c>
      <c r="C1270" t="s">
        <v>1343</v>
      </c>
    </row>
    <row r="1271" spans="1:3" x14ac:dyDescent="0.2">
      <c r="A1271" t="s">
        <v>3493</v>
      </c>
      <c r="B1271" t="s">
        <v>1339</v>
      </c>
      <c r="C1271" t="s">
        <v>1343</v>
      </c>
    </row>
    <row r="1272" spans="1:3" x14ac:dyDescent="0.2">
      <c r="A1272" t="s">
        <v>3494</v>
      </c>
      <c r="B1272" t="s">
        <v>1339</v>
      </c>
      <c r="C1272" t="s">
        <v>1343</v>
      </c>
    </row>
    <row r="1273" spans="1:3" x14ac:dyDescent="0.2">
      <c r="A1273" t="s">
        <v>3495</v>
      </c>
      <c r="B1273" t="s">
        <v>1339</v>
      </c>
      <c r="C1273" t="s">
        <v>1343</v>
      </c>
    </row>
    <row r="1274" spans="1:3" x14ac:dyDescent="0.2">
      <c r="A1274" t="s">
        <v>3496</v>
      </c>
      <c r="B1274" t="s">
        <v>1339</v>
      </c>
      <c r="C1274" t="s">
        <v>1343</v>
      </c>
    </row>
    <row r="1275" spans="1:3" x14ac:dyDescent="0.2">
      <c r="A1275" t="s">
        <v>3497</v>
      </c>
      <c r="B1275" t="s">
        <v>1339</v>
      </c>
      <c r="C1275" t="s">
        <v>1343</v>
      </c>
    </row>
    <row r="1276" spans="1:3" x14ac:dyDescent="0.2">
      <c r="A1276" t="s">
        <v>3498</v>
      </c>
      <c r="B1276" t="s">
        <v>1339</v>
      </c>
      <c r="C1276" t="s">
        <v>1343</v>
      </c>
    </row>
    <row r="1277" spans="1:3" x14ac:dyDescent="0.2">
      <c r="A1277" t="s">
        <v>3499</v>
      </c>
      <c r="B1277" t="s">
        <v>1339</v>
      </c>
      <c r="C1277" t="s">
        <v>1343</v>
      </c>
    </row>
    <row r="1278" spans="1:3" x14ac:dyDescent="0.2">
      <c r="A1278" t="s">
        <v>3500</v>
      </c>
      <c r="B1278" t="s">
        <v>1339</v>
      </c>
      <c r="C1278" t="s">
        <v>1343</v>
      </c>
    </row>
    <row r="1279" spans="1:3" x14ac:dyDescent="0.2">
      <c r="A1279" t="s">
        <v>3501</v>
      </c>
      <c r="B1279" t="s">
        <v>1339</v>
      </c>
      <c r="C1279" t="s">
        <v>1343</v>
      </c>
    </row>
    <row r="1280" spans="1:3" x14ac:dyDescent="0.2">
      <c r="A1280" t="s">
        <v>3502</v>
      </c>
      <c r="B1280" t="s">
        <v>1339</v>
      </c>
      <c r="C1280" t="s">
        <v>1343</v>
      </c>
    </row>
    <row r="1281" spans="1:3" x14ac:dyDescent="0.2">
      <c r="A1281" t="s">
        <v>3503</v>
      </c>
      <c r="B1281" t="s">
        <v>1339</v>
      </c>
      <c r="C1281" t="s">
        <v>1343</v>
      </c>
    </row>
    <row r="1282" spans="1:3" x14ac:dyDescent="0.2">
      <c r="A1282" t="s">
        <v>3504</v>
      </c>
      <c r="B1282" t="s">
        <v>1339</v>
      </c>
      <c r="C1282" t="s">
        <v>1343</v>
      </c>
    </row>
    <row r="1283" spans="1:3" x14ac:dyDescent="0.2">
      <c r="A1283" t="s">
        <v>3505</v>
      </c>
      <c r="B1283" t="s">
        <v>1339</v>
      </c>
      <c r="C1283" t="s">
        <v>1343</v>
      </c>
    </row>
    <row r="1284" spans="1:3" x14ac:dyDescent="0.2">
      <c r="A1284" t="s">
        <v>3506</v>
      </c>
      <c r="B1284" t="s">
        <v>1339</v>
      </c>
      <c r="C1284" t="s">
        <v>1343</v>
      </c>
    </row>
    <row r="1285" spans="1:3" x14ac:dyDescent="0.2">
      <c r="A1285" t="s">
        <v>3507</v>
      </c>
      <c r="B1285" t="s">
        <v>1339</v>
      </c>
      <c r="C1285" t="s">
        <v>1343</v>
      </c>
    </row>
    <row r="1286" spans="1:3" x14ac:dyDescent="0.2">
      <c r="A1286" t="s">
        <v>3508</v>
      </c>
      <c r="B1286" t="s">
        <v>1339</v>
      </c>
      <c r="C1286" t="s">
        <v>1343</v>
      </c>
    </row>
    <row r="1287" spans="1:3" x14ac:dyDescent="0.2">
      <c r="A1287" t="s">
        <v>3509</v>
      </c>
      <c r="B1287" t="s">
        <v>1339</v>
      </c>
      <c r="C1287" t="s">
        <v>1343</v>
      </c>
    </row>
    <row r="1288" spans="1:3" x14ac:dyDescent="0.2">
      <c r="A1288" t="s">
        <v>3510</v>
      </c>
      <c r="B1288" t="s">
        <v>1339</v>
      </c>
      <c r="C1288" t="s">
        <v>1343</v>
      </c>
    </row>
    <row r="1289" spans="1:3" x14ac:dyDescent="0.2">
      <c r="A1289" t="s">
        <v>3511</v>
      </c>
      <c r="B1289" t="s">
        <v>1339</v>
      </c>
      <c r="C1289" t="s">
        <v>1343</v>
      </c>
    </row>
    <row r="1290" spans="1:3" x14ac:dyDescent="0.2">
      <c r="A1290" t="s">
        <v>3512</v>
      </c>
      <c r="B1290" t="s">
        <v>1339</v>
      </c>
      <c r="C1290" t="s">
        <v>1343</v>
      </c>
    </row>
    <row r="1291" spans="1:3" x14ac:dyDescent="0.2">
      <c r="A1291" t="s">
        <v>3513</v>
      </c>
      <c r="B1291" t="s">
        <v>1339</v>
      </c>
      <c r="C1291" t="s">
        <v>1343</v>
      </c>
    </row>
    <row r="1292" spans="1:3" x14ac:dyDescent="0.2">
      <c r="A1292" t="s">
        <v>3514</v>
      </c>
      <c r="B1292" t="s">
        <v>1339</v>
      </c>
      <c r="C1292" t="s">
        <v>1343</v>
      </c>
    </row>
    <row r="1293" spans="1:3" x14ac:dyDescent="0.2">
      <c r="A1293" t="s">
        <v>3515</v>
      </c>
      <c r="B1293" t="s">
        <v>1339</v>
      </c>
      <c r="C1293" t="s">
        <v>1343</v>
      </c>
    </row>
    <row r="1294" spans="1:3" x14ac:dyDescent="0.2">
      <c r="A1294" t="s">
        <v>3516</v>
      </c>
      <c r="B1294" t="s">
        <v>1339</v>
      </c>
      <c r="C1294" t="s">
        <v>1343</v>
      </c>
    </row>
    <row r="1295" spans="1:3" x14ac:dyDescent="0.2">
      <c r="A1295" t="s">
        <v>3517</v>
      </c>
      <c r="B1295" t="s">
        <v>1339</v>
      </c>
      <c r="C1295" t="s">
        <v>1343</v>
      </c>
    </row>
    <row r="1296" spans="1:3" x14ac:dyDescent="0.2">
      <c r="A1296" t="s">
        <v>3518</v>
      </c>
      <c r="B1296" t="s">
        <v>1339</v>
      </c>
      <c r="C1296" t="s">
        <v>1343</v>
      </c>
    </row>
    <row r="1297" spans="1:3" x14ac:dyDescent="0.2">
      <c r="A1297" t="s">
        <v>3519</v>
      </c>
      <c r="B1297" t="s">
        <v>1339</v>
      </c>
      <c r="C1297" t="s">
        <v>1343</v>
      </c>
    </row>
    <row r="1298" spans="1:3" x14ac:dyDescent="0.2">
      <c r="A1298" t="s">
        <v>3520</v>
      </c>
      <c r="B1298" t="s">
        <v>1339</v>
      </c>
      <c r="C1298" t="s">
        <v>1343</v>
      </c>
    </row>
    <row r="1299" spans="1:3" x14ac:dyDescent="0.2">
      <c r="A1299" t="s">
        <v>3521</v>
      </c>
      <c r="B1299" t="s">
        <v>1339</v>
      </c>
      <c r="C1299" t="s">
        <v>1343</v>
      </c>
    </row>
    <row r="1300" spans="1:3" x14ac:dyDescent="0.2">
      <c r="A1300" t="s">
        <v>3522</v>
      </c>
      <c r="B1300" t="s">
        <v>1339</v>
      </c>
      <c r="C1300" t="s">
        <v>1343</v>
      </c>
    </row>
    <row r="1301" spans="1:3" x14ac:dyDescent="0.2">
      <c r="A1301" t="s">
        <v>3523</v>
      </c>
      <c r="B1301" t="s">
        <v>1339</v>
      </c>
      <c r="C1301" t="s">
        <v>1343</v>
      </c>
    </row>
    <row r="1302" spans="1:3" x14ac:dyDescent="0.2">
      <c r="A1302" t="s">
        <v>3524</v>
      </c>
      <c r="B1302" t="s">
        <v>1339</v>
      </c>
      <c r="C1302" t="s">
        <v>1343</v>
      </c>
    </row>
    <row r="1303" spans="1:3" x14ac:dyDescent="0.2">
      <c r="A1303" t="s">
        <v>3525</v>
      </c>
      <c r="B1303" t="s">
        <v>1339</v>
      </c>
      <c r="C1303" t="s">
        <v>1343</v>
      </c>
    </row>
    <row r="1304" spans="1:3" x14ac:dyDescent="0.2">
      <c r="A1304" t="s">
        <v>3526</v>
      </c>
      <c r="B1304" t="s">
        <v>1339</v>
      </c>
      <c r="C1304" t="s">
        <v>1343</v>
      </c>
    </row>
    <row r="1305" spans="1:3" x14ac:dyDescent="0.2">
      <c r="A1305" t="s">
        <v>3527</v>
      </c>
      <c r="B1305" t="s">
        <v>1339</v>
      </c>
      <c r="C1305" t="s">
        <v>1343</v>
      </c>
    </row>
    <row r="1306" spans="1:3" x14ac:dyDescent="0.2">
      <c r="A1306" t="s">
        <v>3528</v>
      </c>
      <c r="B1306" t="s">
        <v>1339</v>
      </c>
      <c r="C1306" t="s">
        <v>1343</v>
      </c>
    </row>
    <row r="1307" spans="1:3" x14ac:dyDescent="0.2">
      <c r="A1307" t="s">
        <v>3529</v>
      </c>
      <c r="B1307" t="s">
        <v>1339</v>
      </c>
      <c r="C1307" t="s">
        <v>1343</v>
      </c>
    </row>
    <row r="1308" spans="1:3" x14ac:dyDescent="0.2">
      <c r="A1308" t="s">
        <v>3530</v>
      </c>
      <c r="B1308" t="s">
        <v>1339</v>
      </c>
      <c r="C1308" t="s">
        <v>1343</v>
      </c>
    </row>
    <row r="1309" spans="1:3" x14ac:dyDescent="0.2">
      <c r="A1309" t="s">
        <v>3531</v>
      </c>
      <c r="B1309" t="s">
        <v>1339</v>
      </c>
      <c r="C1309" t="s">
        <v>1343</v>
      </c>
    </row>
    <row r="1310" spans="1:3" x14ac:dyDescent="0.2">
      <c r="A1310" t="s">
        <v>3532</v>
      </c>
      <c r="B1310" t="s">
        <v>1339</v>
      </c>
      <c r="C1310" t="s">
        <v>1343</v>
      </c>
    </row>
    <row r="1311" spans="1:3" x14ac:dyDescent="0.2">
      <c r="A1311" t="s">
        <v>3533</v>
      </c>
      <c r="B1311" t="s">
        <v>1339</v>
      </c>
      <c r="C1311" t="s">
        <v>1343</v>
      </c>
    </row>
    <row r="1312" spans="1:3" x14ac:dyDescent="0.2">
      <c r="A1312" t="s">
        <v>3534</v>
      </c>
      <c r="B1312" t="s">
        <v>1339</v>
      </c>
      <c r="C1312" t="s">
        <v>1343</v>
      </c>
    </row>
    <row r="1313" spans="1:3" x14ac:dyDescent="0.2">
      <c r="A1313" t="s">
        <v>3535</v>
      </c>
      <c r="B1313" t="s">
        <v>1339</v>
      </c>
      <c r="C1313" t="s">
        <v>1343</v>
      </c>
    </row>
    <row r="1314" spans="1:3" x14ac:dyDescent="0.2">
      <c r="A1314" t="s">
        <v>3536</v>
      </c>
      <c r="B1314" t="s">
        <v>1339</v>
      </c>
      <c r="C1314" t="s">
        <v>1343</v>
      </c>
    </row>
    <row r="1315" spans="1:3" x14ac:dyDescent="0.2">
      <c r="A1315" t="s">
        <v>3537</v>
      </c>
      <c r="B1315" t="s">
        <v>1339</v>
      </c>
      <c r="C1315" t="s">
        <v>1343</v>
      </c>
    </row>
    <row r="1316" spans="1:3" x14ac:dyDescent="0.2">
      <c r="A1316" t="s">
        <v>3538</v>
      </c>
      <c r="B1316" t="s">
        <v>1339</v>
      </c>
      <c r="C1316" t="s">
        <v>1343</v>
      </c>
    </row>
    <row r="1317" spans="1:3" x14ac:dyDescent="0.2">
      <c r="A1317" t="s">
        <v>3539</v>
      </c>
      <c r="B1317" t="s">
        <v>1339</v>
      </c>
      <c r="C1317" t="s">
        <v>1343</v>
      </c>
    </row>
    <row r="1318" spans="1:3" x14ac:dyDescent="0.2">
      <c r="A1318" t="s">
        <v>3540</v>
      </c>
      <c r="B1318" t="s">
        <v>1339</v>
      </c>
      <c r="C1318" t="s">
        <v>1343</v>
      </c>
    </row>
    <row r="1319" spans="1:3" x14ac:dyDescent="0.2">
      <c r="A1319" t="s">
        <v>3541</v>
      </c>
      <c r="B1319" t="s">
        <v>1339</v>
      </c>
      <c r="C1319" t="s">
        <v>1343</v>
      </c>
    </row>
    <row r="1320" spans="1:3" x14ac:dyDescent="0.2">
      <c r="A1320" t="s">
        <v>3542</v>
      </c>
      <c r="B1320" t="s">
        <v>1339</v>
      </c>
      <c r="C1320" t="s">
        <v>1343</v>
      </c>
    </row>
    <row r="1321" spans="1:3" x14ac:dyDescent="0.2">
      <c r="A1321" t="s">
        <v>3543</v>
      </c>
      <c r="B1321" t="s">
        <v>1339</v>
      </c>
      <c r="C1321" t="s">
        <v>1343</v>
      </c>
    </row>
    <row r="1322" spans="1:3" x14ac:dyDescent="0.2">
      <c r="A1322" t="s">
        <v>3544</v>
      </c>
      <c r="B1322" t="s">
        <v>1339</v>
      </c>
      <c r="C1322" t="s">
        <v>1343</v>
      </c>
    </row>
    <row r="1323" spans="1:3" x14ac:dyDescent="0.2">
      <c r="A1323" t="s">
        <v>3545</v>
      </c>
      <c r="B1323" t="s">
        <v>1339</v>
      </c>
      <c r="C1323" t="s">
        <v>1343</v>
      </c>
    </row>
    <row r="1324" spans="1:3" x14ac:dyDescent="0.2">
      <c r="A1324" t="s">
        <v>3546</v>
      </c>
      <c r="B1324" t="s">
        <v>1339</v>
      </c>
      <c r="C1324" t="s">
        <v>1343</v>
      </c>
    </row>
    <row r="1325" spans="1:3" x14ac:dyDescent="0.2">
      <c r="A1325" t="s">
        <v>3547</v>
      </c>
      <c r="B1325" t="s">
        <v>1339</v>
      </c>
      <c r="C1325" t="s">
        <v>1343</v>
      </c>
    </row>
    <row r="1326" spans="1:3" x14ac:dyDescent="0.2">
      <c r="A1326" t="s">
        <v>3548</v>
      </c>
      <c r="B1326" t="s">
        <v>1339</v>
      </c>
      <c r="C1326" t="s">
        <v>1343</v>
      </c>
    </row>
    <row r="1327" spans="1:3" x14ac:dyDescent="0.2">
      <c r="A1327" t="s">
        <v>3549</v>
      </c>
      <c r="B1327" t="s">
        <v>1339</v>
      </c>
      <c r="C1327" t="s">
        <v>1343</v>
      </c>
    </row>
    <row r="1328" spans="1:3" x14ac:dyDescent="0.2">
      <c r="A1328" t="s">
        <v>3550</v>
      </c>
      <c r="B1328" t="s">
        <v>1339</v>
      </c>
      <c r="C1328" t="s">
        <v>1343</v>
      </c>
    </row>
    <row r="1329" spans="1:3" x14ac:dyDescent="0.2">
      <c r="A1329" t="s">
        <v>3551</v>
      </c>
      <c r="B1329" t="s">
        <v>1339</v>
      </c>
      <c r="C1329" t="s">
        <v>1343</v>
      </c>
    </row>
    <row r="1330" spans="1:3" x14ac:dyDescent="0.2">
      <c r="A1330" t="s">
        <v>3552</v>
      </c>
      <c r="B1330" t="s">
        <v>1339</v>
      </c>
      <c r="C1330" t="s">
        <v>1343</v>
      </c>
    </row>
    <row r="1331" spans="1:3" x14ac:dyDescent="0.2">
      <c r="A1331" t="s">
        <v>3553</v>
      </c>
      <c r="B1331" t="s">
        <v>1339</v>
      </c>
      <c r="C1331" t="s">
        <v>1343</v>
      </c>
    </row>
    <row r="1332" spans="1:3" x14ac:dyDescent="0.2">
      <c r="A1332" t="s">
        <v>3554</v>
      </c>
      <c r="B1332" t="s">
        <v>1339</v>
      </c>
      <c r="C1332" t="s">
        <v>1343</v>
      </c>
    </row>
    <row r="1333" spans="1:3" x14ac:dyDescent="0.2">
      <c r="A1333" t="s">
        <v>3555</v>
      </c>
      <c r="B1333" t="s">
        <v>1339</v>
      </c>
      <c r="C1333" t="s">
        <v>1343</v>
      </c>
    </row>
    <row r="1334" spans="1:3" x14ac:dyDescent="0.2">
      <c r="A1334" t="s">
        <v>3556</v>
      </c>
      <c r="B1334" t="s">
        <v>1339</v>
      </c>
      <c r="C1334" t="s">
        <v>1343</v>
      </c>
    </row>
    <row r="1335" spans="1:3" x14ac:dyDescent="0.2">
      <c r="A1335" t="s">
        <v>3557</v>
      </c>
      <c r="B1335" t="s">
        <v>1339</v>
      </c>
      <c r="C1335" t="s">
        <v>1343</v>
      </c>
    </row>
    <row r="1336" spans="1:3" x14ac:dyDescent="0.2">
      <c r="A1336" t="s">
        <v>3558</v>
      </c>
      <c r="B1336" t="s">
        <v>1339</v>
      </c>
      <c r="C1336" t="s">
        <v>1343</v>
      </c>
    </row>
    <row r="1337" spans="1:3" x14ac:dyDescent="0.2">
      <c r="A1337" t="s">
        <v>3559</v>
      </c>
      <c r="B1337" t="s">
        <v>1339</v>
      </c>
      <c r="C1337" t="s">
        <v>1343</v>
      </c>
    </row>
    <row r="1338" spans="1:3" x14ac:dyDescent="0.2">
      <c r="A1338" t="s">
        <v>3560</v>
      </c>
      <c r="B1338" t="s">
        <v>1339</v>
      </c>
      <c r="C1338" t="s">
        <v>1343</v>
      </c>
    </row>
    <row r="1339" spans="1:3" x14ac:dyDescent="0.2">
      <c r="A1339" t="s">
        <v>3561</v>
      </c>
      <c r="B1339" t="s">
        <v>1339</v>
      </c>
      <c r="C1339" t="s">
        <v>1343</v>
      </c>
    </row>
    <row r="1340" spans="1:3" x14ac:dyDescent="0.2">
      <c r="A1340" t="s">
        <v>3562</v>
      </c>
      <c r="B1340" t="s">
        <v>1339</v>
      </c>
      <c r="C1340" t="s">
        <v>1343</v>
      </c>
    </row>
    <row r="1341" spans="1:3" x14ac:dyDescent="0.2">
      <c r="A1341" t="s">
        <v>3563</v>
      </c>
      <c r="B1341" t="s">
        <v>1339</v>
      </c>
      <c r="C1341" t="s">
        <v>1343</v>
      </c>
    </row>
    <row r="1342" spans="1:3" x14ac:dyDescent="0.2">
      <c r="A1342" t="s">
        <v>3564</v>
      </c>
      <c r="B1342" t="s">
        <v>1339</v>
      </c>
      <c r="C1342" t="s">
        <v>1343</v>
      </c>
    </row>
    <row r="1343" spans="1:3" x14ac:dyDescent="0.2">
      <c r="A1343" t="s">
        <v>3565</v>
      </c>
      <c r="B1343" t="s">
        <v>1339</v>
      </c>
      <c r="C1343" t="s">
        <v>1343</v>
      </c>
    </row>
    <row r="1344" spans="1:3" x14ac:dyDescent="0.2">
      <c r="A1344" t="s">
        <v>3566</v>
      </c>
      <c r="B1344" t="s">
        <v>1339</v>
      </c>
      <c r="C1344" t="s">
        <v>1343</v>
      </c>
    </row>
    <row r="1345" spans="1:3" x14ac:dyDescent="0.2">
      <c r="A1345" t="s">
        <v>3567</v>
      </c>
      <c r="B1345" t="s">
        <v>1339</v>
      </c>
      <c r="C1345" t="s">
        <v>1343</v>
      </c>
    </row>
    <row r="1346" spans="1:3" x14ac:dyDescent="0.2">
      <c r="A1346" t="s">
        <v>3568</v>
      </c>
      <c r="B1346" t="s">
        <v>1339</v>
      </c>
      <c r="C1346" t="s">
        <v>1343</v>
      </c>
    </row>
    <row r="1347" spans="1:3" x14ac:dyDescent="0.2">
      <c r="A1347" t="s">
        <v>3569</v>
      </c>
      <c r="B1347" t="s">
        <v>1339</v>
      </c>
      <c r="C1347" t="s">
        <v>1343</v>
      </c>
    </row>
    <row r="1348" spans="1:3" x14ac:dyDescent="0.2">
      <c r="A1348" t="s">
        <v>3570</v>
      </c>
      <c r="B1348" t="s">
        <v>1339</v>
      </c>
      <c r="C1348" t="s">
        <v>1343</v>
      </c>
    </row>
    <row r="1349" spans="1:3" x14ac:dyDescent="0.2">
      <c r="A1349" t="s">
        <v>3571</v>
      </c>
      <c r="B1349" t="s">
        <v>1339</v>
      </c>
      <c r="C1349" t="s">
        <v>1343</v>
      </c>
    </row>
    <row r="1350" spans="1:3" x14ac:dyDescent="0.2">
      <c r="A1350" t="s">
        <v>3572</v>
      </c>
      <c r="B1350" t="s">
        <v>1339</v>
      </c>
      <c r="C1350" t="s">
        <v>1343</v>
      </c>
    </row>
    <row r="1351" spans="1:3" x14ac:dyDescent="0.2">
      <c r="A1351" t="s">
        <v>3573</v>
      </c>
      <c r="B1351" t="s">
        <v>1339</v>
      </c>
      <c r="C1351" t="s">
        <v>1343</v>
      </c>
    </row>
    <row r="1352" spans="1:3" x14ac:dyDescent="0.2">
      <c r="A1352" t="s">
        <v>3574</v>
      </c>
      <c r="B1352" t="s">
        <v>1339</v>
      </c>
      <c r="C1352" t="s">
        <v>1343</v>
      </c>
    </row>
    <row r="1353" spans="1:3" x14ac:dyDescent="0.2">
      <c r="A1353" t="s">
        <v>3575</v>
      </c>
      <c r="B1353" t="s">
        <v>1339</v>
      </c>
      <c r="C1353" t="s">
        <v>1343</v>
      </c>
    </row>
    <row r="1354" spans="1:3" x14ac:dyDescent="0.2">
      <c r="A1354" t="s">
        <v>3576</v>
      </c>
      <c r="B1354" t="s">
        <v>1339</v>
      </c>
      <c r="C1354" t="s">
        <v>1343</v>
      </c>
    </row>
    <row r="1355" spans="1:3" x14ac:dyDescent="0.2">
      <c r="A1355" t="s">
        <v>3577</v>
      </c>
      <c r="B1355" t="s">
        <v>1339</v>
      </c>
      <c r="C1355" t="s">
        <v>1343</v>
      </c>
    </row>
    <row r="1356" spans="1:3" x14ac:dyDescent="0.2">
      <c r="A1356" t="s">
        <v>3578</v>
      </c>
      <c r="B1356" t="s">
        <v>1339</v>
      </c>
      <c r="C1356" t="s">
        <v>1343</v>
      </c>
    </row>
    <row r="1357" spans="1:3" x14ac:dyDescent="0.2">
      <c r="A1357" t="s">
        <v>3579</v>
      </c>
      <c r="B1357" t="s">
        <v>1339</v>
      </c>
      <c r="C1357" t="s">
        <v>1343</v>
      </c>
    </row>
    <row r="1358" spans="1:3" x14ac:dyDescent="0.2">
      <c r="A1358" t="s">
        <v>3580</v>
      </c>
      <c r="B1358" t="s">
        <v>1339</v>
      </c>
      <c r="C1358" t="s">
        <v>1343</v>
      </c>
    </row>
    <row r="1359" spans="1:3" x14ac:dyDescent="0.2">
      <c r="A1359" t="s">
        <v>3581</v>
      </c>
      <c r="B1359" t="s">
        <v>1339</v>
      </c>
      <c r="C1359" t="s">
        <v>1343</v>
      </c>
    </row>
    <row r="1360" spans="1:3" x14ac:dyDescent="0.2">
      <c r="A1360" t="s">
        <v>3582</v>
      </c>
      <c r="B1360" t="s">
        <v>1339</v>
      </c>
      <c r="C1360" t="s">
        <v>1343</v>
      </c>
    </row>
    <row r="1361" spans="1:3" x14ac:dyDescent="0.2">
      <c r="A1361" t="s">
        <v>3583</v>
      </c>
      <c r="B1361" t="s">
        <v>1339</v>
      </c>
      <c r="C1361" t="s">
        <v>1343</v>
      </c>
    </row>
    <row r="1362" spans="1:3" x14ac:dyDescent="0.2">
      <c r="A1362" t="s">
        <v>3584</v>
      </c>
      <c r="B1362" t="s">
        <v>1339</v>
      </c>
      <c r="C1362" t="s">
        <v>1343</v>
      </c>
    </row>
    <row r="1363" spans="1:3" x14ac:dyDescent="0.2">
      <c r="A1363" t="s">
        <v>3585</v>
      </c>
      <c r="B1363" t="s">
        <v>1339</v>
      </c>
      <c r="C1363" t="s">
        <v>1343</v>
      </c>
    </row>
    <row r="1364" spans="1:3" x14ac:dyDescent="0.2">
      <c r="A1364" t="s">
        <v>3586</v>
      </c>
      <c r="B1364" t="s">
        <v>1339</v>
      </c>
      <c r="C1364" t="s">
        <v>1343</v>
      </c>
    </row>
    <row r="1365" spans="1:3" x14ac:dyDescent="0.2">
      <c r="A1365" t="s">
        <v>3587</v>
      </c>
      <c r="B1365" t="s">
        <v>1339</v>
      </c>
      <c r="C1365" t="s">
        <v>1343</v>
      </c>
    </row>
    <row r="1366" spans="1:3" x14ac:dyDescent="0.2">
      <c r="A1366" t="s">
        <v>3588</v>
      </c>
      <c r="B1366" t="s">
        <v>1339</v>
      </c>
      <c r="C1366" t="s">
        <v>1343</v>
      </c>
    </row>
    <row r="1367" spans="1:3" x14ac:dyDescent="0.2">
      <c r="A1367" t="s">
        <v>3589</v>
      </c>
      <c r="B1367" t="s">
        <v>1339</v>
      </c>
      <c r="C1367" t="s">
        <v>1343</v>
      </c>
    </row>
    <row r="1368" spans="1:3" x14ac:dyDescent="0.2">
      <c r="A1368" t="s">
        <v>3590</v>
      </c>
      <c r="B1368" t="s">
        <v>1339</v>
      </c>
      <c r="C1368" t="s">
        <v>1343</v>
      </c>
    </row>
    <row r="1369" spans="1:3" x14ac:dyDescent="0.2">
      <c r="A1369" t="s">
        <v>1342</v>
      </c>
      <c r="B1369" t="s">
        <v>1339</v>
      </c>
      <c r="C1369" t="s">
        <v>1343</v>
      </c>
    </row>
    <row r="1370" spans="1:3" x14ac:dyDescent="0.2">
      <c r="A1370" t="s">
        <v>6392</v>
      </c>
      <c r="B1370" t="s">
        <v>1339</v>
      </c>
      <c r="C1370" t="s">
        <v>1343</v>
      </c>
    </row>
    <row r="1371" spans="1:3" x14ac:dyDescent="0.2">
      <c r="A1371" t="s">
        <v>3591</v>
      </c>
      <c r="B1371" t="s">
        <v>1339</v>
      </c>
      <c r="C1371" t="s">
        <v>1343</v>
      </c>
    </row>
    <row r="1372" spans="1:3" x14ac:dyDescent="0.2">
      <c r="A1372" t="s">
        <v>3592</v>
      </c>
      <c r="B1372" t="s">
        <v>1339</v>
      </c>
      <c r="C1372" t="s">
        <v>1343</v>
      </c>
    </row>
    <row r="1373" spans="1:3" x14ac:dyDescent="0.2">
      <c r="A1373" t="s">
        <v>3593</v>
      </c>
      <c r="B1373" t="s">
        <v>1339</v>
      </c>
      <c r="C1373" t="s">
        <v>1343</v>
      </c>
    </row>
    <row r="1374" spans="1:3" x14ac:dyDescent="0.2">
      <c r="A1374" t="s">
        <v>3594</v>
      </c>
      <c r="B1374" t="s">
        <v>1339</v>
      </c>
      <c r="C1374" t="s">
        <v>1343</v>
      </c>
    </row>
    <row r="1375" spans="1:3" x14ac:dyDescent="0.2">
      <c r="A1375" t="s">
        <v>3595</v>
      </c>
      <c r="B1375" t="s">
        <v>1339</v>
      </c>
      <c r="C1375" t="s">
        <v>1343</v>
      </c>
    </row>
    <row r="1376" spans="1:3" x14ac:dyDescent="0.2">
      <c r="A1376" t="s">
        <v>3596</v>
      </c>
      <c r="B1376" t="s">
        <v>1339</v>
      </c>
      <c r="C1376" t="s">
        <v>1343</v>
      </c>
    </row>
    <row r="1377" spans="1:3" x14ac:dyDescent="0.2">
      <c r="A1377" t="s">
        <v>3597</v>
      </c>
      <c r="B1377" t="s">
        <v>1339</v>
      </c>
      <c r="C1377" t="s">
        <v>1343</v>
      </c>
    </row>
    <row r="1378" spans="1:3" x14ac:dyDescent="0.2">
      <c r="A1378" t="s">
        <v>3598</v>
      </c>
      <c r="B1378" t="s">
        <v>1339</v>
      </c>
      <c r="C1378" t="s">
        <v>1343</v>
      </c>
    </row>
    <row r="1379" spans="1:3" x14ac:dyDescent="0.2">
      <c r="A1379" t="s">
        <v>3599</v>
      </c>
      <c r="B1379" t="s">
        <v>1339</v>
      </c>
      <c r="C1379" t="s">
        <v>1343</v>
      </c>
    </row>
    <row r="1380" spans="1:3" x14ac:dyDescent="0.2">
      <c r="A1380" t="s">
        <v>3600</v>
      </c>
      <c r="B1380" t="s">
        <v>1339</v>
      </c>
      <c r="C1380" t="s">
        <v>1343</v>
      </c>
    </row>
    <row r="1381" spans="1:3" x14ac:dyDescent="0.2">
      <c r="A1381" t="s">
        <v>3601</v>
      </c>
      <c r="B1381" t="s">
        <v>1339</v>
      </c>
      <c r="C1381" t="s">
        <v>1343</v>
      </c>
    </row>
    <row r="1382" spans="1:3" x14ac:dyDescent="0.2">
      <c r="A1382" t="s">
        <v>3602</v>
      </c>
      <c r="B1382" t="s">
        <v>1339</v>
      </c>
      <c r="C1382" t="s">
        <v>1343</v>
      </c>
    </row>
    <row r="1383" spans="1:3" x14ac:dyDescent="0.2">
      <c r="A1383" t="s">
        <v>3603</v>
      </c>
      <c r="B1383" t="s">
        <v>1339</v>
      </c>
      <c r="C1383" t="s">
        <v>1343</v>
      </c>
    </row>
    <row r="1384" spans="1:3" x14ac:dyDescent="0.2">
      <c r="A1384" t="s">
        <v>3604</v>
      </c>
      <c r="B1384" t="s">
        <v>1339</v>
      </c>
      <c r="C1384" t="s">
        <v>1343</v>
      </c>
    </row>
    <row r="1385" spans="1:3" x14ac:dyDescent="0.2">
      <c r="A1385" t="s">
        <v>3605</v>
      </c>
      <c r="B1385" t="s">
        <v>1339</v>
      </c>
      <c r="C1385" t="s">
        <v>1343</v>
      </c>
    </row>
    <row r="1386" spans="1:3" x14ac:dyDescent="0.2">
      <c r="A1386" t="s">
        <v>3606</v>
      </c>
      <c r="B1386" t="s">
        <v>1339</v>
      </c>
      <c r="C1386" t="s">
        <v>1343</v>
      </c>
    </row>
    <row r="1387" spans="1:3" x14ac:dyDescent="0.2">
      <c r="A1387" t="s">
        <v>3607</v>
      </c>
      <c r="B1387" t="s">
        <v>1339</v>
      </c>
      <c r="C1387" t="s">
        <v>1343</v>
      </c>
    </row>
    <row r="1388" spans="1:3" x14ac:dyDescent="0.2">
      <c r="A1388" t="s">
        <v>3608</v>
      </c>
      <c r="B1388" t="s">
        <v>1339</v>
      </c>
      <c r="C1388" t="s">
        <v>1343</v>
      </c>
    </row>
    <row r="1389" spans="1:3" x14ac:dyDescent="0.2">
      <c r="A1389" t="s">
        <v>3609</v>
      </c>
      <c r="B1389" t="s">
        <v>1339</v>
      </c>
      <c r="C1389" t="s">
        <v>1343</v>
      </c>
    </row>
    <row r="1390" spans="1:3" x14ac:dyDescent="0.2">
      <c r="A1390" t="s">
        <v>3610</v>
      </c>
      <c r="B1390" t="s">
        <v>1339</v>
      </c>
      <c r="C1390" t="s">
        <v>1343</v>
      </c>
    </row>
    <row r="1391" spans="1:3" x14ac:dyDescent="0.2">
      <c r="A1391" t="s">
        <v>3611</v>
      </c>
      <c r="B1391" t="s">
        <v>1339</v>
      </c>
      <c r="C1391" t="s">
        <v>1343</v>
      </c>
    </row>
    <row r="1392" spans="1:3" x14ac:dyDescent="0.2">
      <c r="A1392" t="s">
        <v>3612</v>
      </c>
      <c r="B1392" t="s">
        <v>1339</v>
      </c>
      <c r="C1392" t="s">
        <v>1343</v>
      </c>
    </row>
    <row r="1393" spans="1:3" x14ac:dyDescent="0.2">
      <c r="A1393" t="s">
        <v>3613</v>
      </c>
      <c r="B1393" t="s">
        <v>1339</v>
      </c>
      <c r="C1393" t="s">
        <v>1343</v>
      </c>
    </row>
    <row r="1394" spans="1:3" x14ac:dyDescent="0.2">
      <c r="A1394" t="s">
        <v>3614</v>
      </c>
      <c r="B1394" t="s">
        <v>1339</v>
      </c>
      <c r="C1394" t="s">
        <v>1343</v>
      </c>
    </row>
    <row r="1395" spans="1:3" x14ac:dyDescent="0.2">
      <c r="A1395" t="s">
        <v>3615</v>
      </c>
      <c r="B1395" t="s">
        <v>1339</v>
      </c>
      <c r="C1395" t="s">
        <v>1343</v>
      </c>
    </row>
    <row r="1396" spans="1:3" x14ac:dyDescent="0.2">
      <c r="A1396" t="s">
        <v>3616</v>
      </c>
      <c r="B1396" t="s">
        <v>1339</v>
      </c>
      <c r="C1396" t="s">
        <v>1343</v>
      </c>
    </row>
    <row r="1397" spans="1:3" x14ac:dyDescent="0.2">
      <c r="A1397" t="s">
        <v>3617</v>
      </c>
      <c r="B1397" t="s">
        <v>1339</v>
      </c>
      <c r="C1397" t="s">
        <v>1343</v>
      </c>
    </row>
    <row r="1398" spans="1:3" x14ac:dyDescent="0.2">
      <c r="A1398" t="s">
        <v>3618</v>
      </c>
      <c r="B1398" t="s">
        <v>1339</v>
      </c>
      <c r="C1398" t="s">
        <v>1343</v>
      </c>
    </row>
    <row r="1399" spans="1:3" x14ac:dyDescent="0.2">
      <c r="A1399" t="s">
        <v>3619</v>
      </c>
      <c r="B1399" t="s">
        <v>1339</v>
      </c>
      <c r="C1399" t="s">
        <v>1343</v>
      </c>
    </row>
    <row r="1400" spans="1:3" x14ac:dyDescent="0.2">
      <c r="A1400" t="s">
        <v>3620</v>
      </c>
      <c r="B1400" t="s">
        <v>1339</v>
      </c>
      <c r="C1400" t="s">
        <v>1343</v>
      </c>
    </row>
    <row r="1401" spans="1:3" x14ac:dyDescent="0.2">
      <c r="A1401" t="s">
        <v>3621</v>
      </c>
      <c r="B1401" t="s">
        <v>1339</v>
      </c>
      <c r="C1401" t="s">
        <v>1343</v>
      </c>
    </row>
    <row r="1402" spans="1:3" x14ac:dyDescent="0.2">
      <c r="A1402" t="s">
        <v>3622</v>
      </c>
      <c r="B1402" t="s">
        <v>1339</v>
      </c>
      <c r="C1402" t="s">
        <v>1343</v>
      </c>
    </row>
    <row r="1403" spans="1:3" x14ac:dyDescent="0.2">
      <c r="A1403" t="s">
        <v>3623</v>
      </c>
      <c r="B1403" t="s">
        <v>1339</v>
      </c>
      <c r="C1403" t="s">
        <v>1343</v>
      </c>
    </row>
    <row r="1404" spans="1:3" x14ac:dyDescent="0.2">
      <c r="A1404" t="s">
        <v>3624</v>
      </c>
      <c r="B1404" t="s">
        <v>1339</v>
      </c>
      <c r="C1404" t="s">
        <v>1343</v>
      </c>
    </row>
    <row r="1405" spans="1:3" x14ac:dyDescent="0.2">
      <c r="A1405" t="s">
        <v>3625</v>
      </c>
      <c r="B1405" t="s">
        <v>1339</v>
      </c>
      <c r="C1405" t="s">
        <v>1343</v>
      </c>
    </row>
    <row r="1406" spans="1:3" x14ac:dyDescent="0.2">
      <c r="A1406" t="s">
        <v>3626</v>
      </c>
      <c r="B1406" t="s">
        <v>1339</v>
      </c>
      <c r="C1406" t="s">
        <v>1343</v>
      </c>
    </row>
    <row r="1407" spans="1:3" x14ac:dyDescent="0.2">
      <c r="A1407" t="s">
        <v>3627</v>
      </c>
      <c r="B1407" t="s">
        <v>1339</v>
      </c>
      <c r="C1407" t="s">
        <v>1343</v>
      </c>
    </row>
    <row r="1408" spans="1:3" x14ac:dyDescent="0.2">
      <c r="A1408" t="s">
        <v>3628</v>
      </c>
      <c r="B1408" t="s">
        <v>1339</v>
      </c>
      <c r="C1408" t="s">
        <v>1343</v>
      </c>
    </row>
    <row r="1409" spans="1:3" x14ac:dyDescent="0.2">
      <c r="A1409" t="s">
        <v>3629</v>
      </c>
      <c r="B1409" t="s">
        <v>1339</v>
      </c>
      <c r="C1409" t="s">
        <v>1343</v>
      </c>
    </row>
    <row r="1410" spans="1:3" x14ac:dyDescent="0.2">
      <c r="A1410" t="s">
        <v>3630</v>
      </c>
      <c r="B1410" t="s">
        <v>1339</v>
      </c>
      <c r="C1410" t="s">
        <v>1343</v>
      </c>
    </row>
    <row r="1411" spans="1:3" x14ac:dyDescent="0.2">
      <c r="A1411" t="s">
        <v>3631</v>
      </c>
      <c r="B1411" t="s">
        <v>1339</v>
      </c>
      <c r="C1411" t="s">
        <v>1343</v>
      </c>
    </row>
    <row r="1412" spans="1:3" x14ac:dyDescent="0.2">
      <c r="A1412" t="s">
        <v>3632</v>
      </c>
      <c r="B1412" t="s">
        <v>1339</v>
      </c>
      <c r="C1412" t="s">
        <v>1343</v>
      </c>
    </row>
    <row r="1413" spans="1:3" x14ac:dyDescent="0.2">
      <c r="A1413" t="s">
        <v>3633</v>
      </c>
      <c r="B1413" t="s">
        <v>1339</v>
      </c>
      <c r="C1413" t="s">
        <v>1343</v>
      </c>
    </row>
    <row r="1414" spans="1:3" x14ac:dyDescent="0.2">
      <c r="A1414" t="s">
        <v>3634</v>
      </c>
      <c r="B1414" t="s">
        <v>1339</v>
      </c>
      <c r="C1414" t="s">
        <v>1343</v>
      </c>
    </row>
    <row r="1415" spans="1:3" x14ac:dyDescent="0.2">
      <c r="A1415" t="s">
        <v>3635</v>
      </c>
      <c r="B1415" t="s">
        <v>1339</v>
      </c>
      <c r="C1415" t="s">
        <v>1343</v>
      </c>
    </row>
    <row r="1416" spans="1:3" x14ac:dyDescent="0.2">
      <c r="A1416" t="s">
        <v>3636</v>
      </c>
      <c r="B1416" t="s">
        <v>1339</v>
      </c>
      <c r="C1416" t="s">
        <v>1343</v>
      </c>
    </row>
    <row r="1417" spans="1:3" x14ac:dyDescent="0.2">
      <c r="A1417" t="s">
        <v>3637</v>
      </c>
      <c r="B1417" t="s">
        <v>1339</v>
      </c>
      <c r="C1417" t="s">
        <v>1343</v>
      </c>
    </row>
    <row r="1418" spans="1:3" x14ac:dyDescent="0.2">
      <c r="A1418" t="s">
        <v>3638</v>
      </c>
      <c r="B1418" t="s">
        <v>1339</v>
      </c>
      <c r="C1418" t="s">
        <v>1343</v>
      </c>
    </row>
    <row r="1419" spans="1:3" x14ac:dyDescent="0.2">
      <c r="A1419" t="s">
        <v>3639</v>
      </c>
      <c r="B1419" t="s">
        <v>1339</v>
      </c>
      <c r="C1419" t="s">
        <v>1343</v>
      </c>
    </row>
    <row r="1420" spans="1:3" x14ac:dyDescent="0.2">
      <c r="A1420" t="s">
        <v>3640</v>
      </c>
      <c r="B1420" t="s">
        <v>1339</v>
      </c>
      <c r="C1420" t="s">
        <v>1343</v>
      </c>
    </row>
    <row r="1421" spans="1:3" x14ac:dyDescent="0.2">
      <c r="A1421" t="s">
        <v>3641</v>
      </c>
      <c r="B1421" t="s">
        <v>1339</v>
      </c>
      <c r="C1421" t="s">
        <v>1343</v>
      </c>
    </row>
    <row r="1422" spans="1:3" x14ac:dyDescent="0.2">
      <c r="A1422" t="s">
        <v>3642</v>
      </c>
      <c r="B1422" t="s">
        <v>1339</v>
      </c>
      <c r="C1422" t="s">
        <v>1343</v>
      </c>
    </row>
    <row r="1423" spans="1:3" x14ac:dyDescent="0.2">
      <c r="A1423" t="s">
        <v>3643</v>
      </c>
      <c r="B1423" t="s">
        <v>1339</v>
      </c>
      <c r="C1423" t="s">
        <v>1343</v>
      </c>
    </row>
    <row r="1424" spans="1:3" x14ac:dyDescent="0.2">
      <c r="A1424" t="s">
        <v>3644</v>
      </c>
      <c r="B1424" t="s">
        <v>1339</v>
      </c>
      <c r="C1424" t="s">
        <v>1343</v>
      </c>
    </row>
    <row r="1425" spans="1:3" x14ac:dyDescent="0.2">
      <c r="A1425" t="s">
        <v>3645</v>
      </c>
      <c r="B1425" t="s">
        <v>1339</v>
      </c>
      <c r="C1425" t="s">
        <v>1343</v>
      </c>
    </row>
    <row r="1426" spans="1:3" x14ac:dyDescent="0.2">
      <c r="A1426" t="s">
        <v>3646</v>
      </c>
      <c r="B1426" t="s">
        <v>1339</v>
      </c>
      <c r="C1426" t="s">
        <v>1343</v>
      </c>
    </row>
    <row r="1427" spans="1:3" x14ac:dyDescent="0.2">
      <c r="A1427" t="s">
        <v>3647</v>
      </c>
      <c r="B1427" t="s">
        <v>1339</v>
      </c>
      <c r="C1427" t="s">
        <v>1343</v>
      </c>
    </row>
    <row r="1428" spans="1:3" x14ac:dyDescent="0.2">
      <c r="A1428" t="s">
        <v>3648</v>
      </c>
      <c r="B1428" t="s">
        <v>1339</v>
      </c>
      <c r="C1428" t="s">
        <v>1343</v>
      </c>
    </row>
    <row r="1429" spans="1:3" x14ac:dyDescent="0.2">
      <c r="A1429" t="s">
        <v>3649</v>
      </c>
      <c r="B1429" t="s">
        <v>1339</v>
      </c>
      <c r="C1429" t="s">
        <v>1343</v>
      </c>
    </row>
    <row r="1430" spans="1:3" x14ac:dyDescent="0.2">
      <c r="A1430" t="s">
        <v>3650</v>
      </c>
      <c r="B1430" t="s">
        <v>1339</v>
      </c>
      <c r="C1430" t="s">
        <v>1343</v>
      </c>
    </row>
    <row r="1431" spans="1:3" x14ac:dyDescent="0.2">
      <c r="A1431" t="s">
        <v>3651</v>
      </c>
      <c r="B1431" t="s">
        <v>1339</v>
      </c>
      <c r="C1431" t="s">
        <v>1343</v>
      </c>
    </row>
    <row r="1432" spans="1:3" x14ac:dyDescent="0.2">
      <c r="A1432" t="s">
        <v>3652</v>
      </c>
      <c r="B1432" t="s">
        <v>1339</v>
      </c>
      <c r="C1432" t="s">
        <v>1343</v>
      </c>
    </row>
    <row r="1433" spans="1:3" x14ac:dyDescent="0.2">
      <c r="A1433" t="s">
        <v>3653</v>
      </c>
      <c r="B1433" t="s">
        <v>1339</v>
      </c>
      <c r="C1433" t="s">
        <v>1343</v>
      </c>
    </row>
    <row r="1434" spans="1:3" x14ac:dyDescent="0.2">
      <c r="A1434" t="s">
        <v>3654</v>
      </c>
      <c r="B1434" t="s">
        <v>1339</v>
      </c>
      <c r="C1434" t="s">
        <v>1343</v>
      </c>
    </row>
    <row r="1435" spans="1:3" x14ac:dyDescent="0.2">
      <c r="A1435" t="s">
        <v>3655</v>
      </c>
      <c r="B1435" t="s">
        <v>1339</v>
      </c>
      <c r="C1435" t="s">
        <v>1343</v>
      </c>
    </row>
    <row r="1436" spans="1:3" x14ac:dyDescent="0.2">
      <c r="A1436" t="s">
        <v>3656</v>
      </c>
      <c r="B1436" t="s">
        <v>1339</v>
      </c>
      <c r="C1436" t="s">
        <v>1343</v>
      </c>
    </row>
    <row r="1437" spans="1:3" x14ac:dyDescent="0.2">
      <c r="A1437" t="s">
        <v>3657</v>
      </c>
      <c r="B1437" t="s">
        <v>1339</v>
      </c>
      <c r="C1437" t="s">
        <v>1343</v>
      </c>
    </row>
    <row r="1438" spans="1:3" x14ac:dyDescent="0.2">
      <c r="A1438" t="s">
        <v>3658</v>
      </c>
      <c r="B1438" t="s">
        <v>1339</v>
      </c>
      <c r="C1438" t="s">
        <v>1343</v>
      </c>
    </row>
    <row r="1439" spans="1:3" x14ac:dyDescent="0.2">
      <c r="A1439" t="s">
        <v>3659</v>
      </c>
      <c r="B1439" t="s">
        <v>1339</v>
      </c>
      <c r="C1439" t="s">
        <v>1343</v>
      </c>
    </row>
    <row r="1440" spans="1:3" x14ac:dyDescent="0.2">
      <c r="A1440" t="s">
        <v>3660</v>
      </c>
      <c r="B1440" t="s">
        <v>1339</v>
      </c>
      <c r="C1440" t="s">
        <v>1343</v>
      </c>
    </row>
    <row r="1441" spans="1:3" x14ac:dyDescent="0.2">
      <c r="A1441" t="s">
        <v>3661</v>
      </c>
      <c r="B1441" t="s">
        <v>1339</v>
      </c>
      <c r="C1441" t="s">
        <v>1343</v>
      </c>
    </row>
    <row r="1442" spans="1:3" x14ac:dyDescent="0.2">
      <c r="A1442" t="s">
        <v>3662</v>
      </c>
      <c r="B1442" t="s">
        <v>1339</v>
      </c>
      <c r="C1442" t="s">
        <v>1343</v>
      </c>
    </row>
    <row r="1443" spans="1:3" x14ac:dyDescent="0.2">
      <c r="A1443" t="s">
        <v>3663</v>
      </c>
      <c r="B1443" t="s">
        <v>1339</v>
      </c>
      <c r="C1443" t="s">
        <v>1343</v>
      </c>
    </row>
    <row r="1444" spans="1:3" x14ac:dyDescent="0.2">
      <c r="A1444" t="s">
        <v>3664</v>
      </c>
      <c r="B1444" t="s">
        <v>1339</v>
      </c>
      <c r="C1444" t="s">
        <v>1343</v>
      </c>
    </row>
    <row r="1445" spans="1:3" x14ac:dyDescent="0.2">
      <c r="A1445" t="s">
        <v>3665</v>
      </c>
      <c r="B1445" t="s">
        <v>1339</v>
      </c>
      <c r="C1445" t="s">
        <v>1343</v>
      </c>
    </row>
    <row r="1446" spans="1:3" x14ac:dyDescent="0.2">
      <c r="A1446" t="s">
        <v>3666</v>
      </c>
      <c r="B1446" t="s">
        <v>1339</v>
      </c>
      <c r="C1446" t="s">
        <v>1343</v>
      </c>
    </row>
    <row r="1447" spans="1:3" x14ac:dyDescent="0.2">
      <c r="A1447" t="s">
        <v>3667</v>
      </c>
      <c r="B1447" t="s">
        <v>1339</v>
      </c>
      <c r="C1447" t="s">
        <v>1343</v>
      </c>
    </row>
    <row r="1448" spans="1:3" x14ac:dyDescent="0.2">
      <c r="A1448" t="s">
        <v>3668</v>
      </c>
      <c r="B1448" t="s">
        <v>1339</v>
      </c>
      <c r="C1448" t="s">
        <v>1343</v>
      </c>
    </row>
    <row r="1449" spans="1:3" x14ac:dyDescent="0.2">
      <c r="A1449" t="s">
        <v>3669</v>
      </c>
      <c r="B1449" t="s">
        <v>1339</v>
      </c>
      <c r="C1449" t="s">
        <v>1343</v>
      </c>
    </row>
    <row r="1450" spans="1:3" x14ac:dyDescent="0.2">
      <c r="A1450" t="s">
        <v>3670</v>
      </c>
      <c r="B1450" t="s">
        <v>1339</v>
      </c>
      <c r="C1450" t="s">
        <v>1343</v>
      </c>
    </row>
    <row r="1451" spans="1:3" x14ac:dyDescent="0.2">
      <c r="A1451" t="s">
        <v>3671</v>
      </c>
      <c r="B1451" t="s">
        <v>1339</v>
      </c>
      <c r="C1451" t="s">
        <v>1343</v>
      </c>
    </row>
    <row r="1452" spans="1:3" x14ac:dyDescent="0.2">
      <c r="A1452" t="s">
        <v>3672</v>
      </c>
      <c r="B1452" t="s">
        <v>1339</v>
      </c>
      <c r="C1452" t="s">
        <v>1343</v>
      </c>
    </row>
    <row r="1453" spans="1:3" x14ac:dyDescent="0.2">
      <c r="A1453" t="s">
        <v>3673</v>
      </c>
      <c r="B1453" t="s">
        <v>1339</v>
      </c>
      <c r="C1453" t="s">
        <v>1343</v>
      </c>
    </row>
    <row r="1454" spans="1:3" x14ac:dyDescent="0.2">
      <c r="A1454" t="s">
        <v>3674</v>
      </c>
      <c r="B1454" t="s">
        <v>1339</v>
      </c>
      <c r="C1454" t="s">
        <v>1343</v>
      </c>
    </row>
    <row r="1455" spans="1:3" x14ac:dyDescent="0.2">
      <c r="A1455" t="s">
        <v>3675</v>
      </c>
      <c r="B1455" t="s">
        <v>1339</v>
      </c>
      <c r="C1455" t="s">
        <v>1343</v>
      </c>
    </row>
    <row r="1456" spans="1:3" x14ac:dyDescent="0.2">
      <c r="A1456" t="s">
        <v>3676</v>
      </c>
      <c r="B1456" t="s">
        <v>1339</v>
      </c>
      <c r="C1456" t="s">
        <v>1343</v>
      </c>
    </row>
    <row r="1457" spans="1:3" x14ac:dyDescent="0.2">
      <c r="A1457" t="s">
        <v>3677</v>
      </c>
      <c r="B1457" t="s">
        <v>1339</v>
      </c>
      <c r="C1457" t="s">
        <v>1343</v>
      </c>
    </row>
    <row r="1458" spans="1:3" x14ac:dyDescent="0.2">
      <c r="A1458" t="s">
        <v>3678</v>
      </c>
      <c r="B1458" t="s">
        <v>1339</v>
      </c>
      <c r="C1458" t="s">
        <v>1343</v>
      </c>
    </row>
    <row r="1459" spans="1:3" x14ac:dyDescent="0.2">
      <c r="A1459" t="s">
        <v>3679</v>
      </c>
      <c r="B1459" t="s">
        <v>1339</v>
      </c>
      <c r="C1459" t="s">
        <v>1343</v>
      </c>
    </row>
    <row r="1460" spans="1:3" x14ac:dyDescent="0.2">
      <c r="A1460" t="s">
        <v>3680</v>
      </c>
      <c r="B1460" t="s">
        <v>1339</v>
      </c>
      <c r="C1460" t="s">
        <v>1343</v>
      </c>
    </row>
    <row r="1461" spans="1:3" x14ac:dyDescent="0.2">
      <c r="A1461" t="s">
        <v>3681</v>
      </c>
      <c r="B1461" t="s">
        <v>1339</v>
      </c>
      <c r="C1461" t="s">
        <v>1343</v>
      </c>
    </row>
    <row r="1462" spans="1:3" x14ac:dyDescent="0.2">
      <c r="A1462" t="s">
        <v>3682</v>
      </c>
      <c r="B1462" t="s">
        <v>1339</v>
      </c>
      <c r="C1462" t="s">
        <v>1343</v>
      </c>
    </row>
    <row r="1463" spans="1:3" x14ac:dyDescent="0.2">
      <c r="A1463" t="s">
        <v>3683</v>
      </c>
      <c r="B1463" t="s">
        <v>1339</v>
      </c>
      <c r="C1463" t="s">
        <v>1343</v>
      </c>
    </row>
    <row r="1464" spans="1:3" x14ac:dyDescent="0.2">
      <c r="A1464" t="s">
        <v>3684</v>
      </c>
      <c r="B1464" t="s">
        <v>1339</v>
      </c>
      <c r="C1464" t="s">
        <v>1343</v>
      </c>
    </row>
    <row r="1465" spans="1:3" x14ac:dyDescent="0.2">
      <c r="A1465" t="s">
        <v>3685</v>
      </c>
      <c r="B1465" t="s">
        <v>1339</v>
      </c>
      <c r="C1465" t="s">
        <v>1343</v>
      </c>
    </row>
    <row r="1466" spans="1:3" x14ac:dyDescent="0.2">
      <c r="A1466" t="s">
        <v>3686</v>
      </c>
      <c r="B1466" t="s">
        <v>1339</v>
      </c>
      <c r="C1466" t="s">
        <v>1343</v>
      </c>
    </row>
    <row r="1467" spans="1:3" x14ac:dyDescent="0.2">
      <c r="A1467" t="s">
        <v>3687</v>
      </c>
      <c r="B1467" t="s">
        <v>1339</v>
      </c>
      <c r="C1467" t="s">
        <v>1343</v>
      </c>
    </row>
    <row r="1468" spans="1:3" x14ac:dyDescent="0.2">
      <c r="A1468" t="s">
        <v>3688</v>
      </c>
      <c r="B1468" t="s">
        <v>1339</v>
      </c>
      <c r="C1468" t="s">
        <v>1343</v>
      </c>
    </row>
    <row r="1469" spans="1:3" x14ac:dyDescent="0.2">
      <c r="A1469" t="s">
        <v>3689</v>
      </c>
      <c r="B1469" t="s">
        <v>1339</v>
      </c>
      <c r="C1469" t="s">
        <v>1343</v>
      </c>
    </row>
    <row r="1470" spans="1:3" x14ac:dyDescent="0.2">
      <c r="A1470" t="s">
        <v>3690</v>
      </c>
      <c r="B1470" t="s">
        <v>1339</v>
      </c>
      <c r="C1470" t="s">
        <v>1343</v>
      </c>
    </row>
    <row r="1471" spans="1:3" x14ac:dyDescent="0.2">
      <c r="A1471" t="s">
        <v>3691</v>
      </c>
      <c r="B1471" t="s">
        <v>1339</v>
      </c>
      <c r="C1471" t="s">
        <v>1343</v>
      </c>
    </row>
    <row r="1472" spans="1:3" x14ac:dyDescent="0.2">
      <c r="A1472" t="s">
        <v>3692</v>
      </c>
      <c r="B1472" t="s">
        <v>1339</v>
      </c>
      <c r="C1472" t="s">
        <v>1343</v>
      </c>
    </row>
    <row r="1473" spans="1:3" x14ac:dyDescent="0.2">
      <c r="A1473" t="s">
        <v>3693</v>
      </c>
      <c r="B1473" t="s">
        <v>1339</v>
      </c>
      <c r="C1473" t="s">
        <v>1343</v>
      </c>
    </row>
    <row r="1474" spans="1:3" x14ac:dyDescent="0.2">
      <c r="A1474" t="s">
        <v>3694</v>
      </c>
      <c r="B1474" t="s">
        <v>1339</v>
      </c>
      <c r="C1474" t="s">
        <v>1343</v>
      </c>
    </row>
    <row r="1475" spans="1:3" x14ac:dyDescent="0.2">
      <c r="A1475" t="s">
        <v>3695</v>
      </c>
      <c r="B1475" t="s">
        <v>1339</v>
      </c>
      <c r="C1475" t="s">
        <v>1343</v>
      </c>
    </row>
    <row r="1476" spans="1:3" x14ac:dyDescent="0.2">
      <c r="A1476" t="s">
        <v>3696</v>
      </c>
      <c r="B1476" t="s">
        <v>1339</v>
      </c>
      <c r="C1476" t="s">
        <v>1343</v>
      </c>
    </row>
    <row r="1477" spans="1:3" x14ac:dyDescent="0.2">
      <c r="A1477" t="s">
        <v>3697</v>
      </c>
      <c r="B1477" t="s">
        <v>1339</v>
      </c>
      <c r="C1477" t="s">
        <v>1343</v>
      </c>
    </row>
    <row r="1478" spans="1:3" x14ac:dyDescent="0.2">
      <c r="A1478" t="s">
        <v>3698</v>
      </c>
      <c r="B1478" t="s">
        <v>1339</v>
      </c>
      <c r="C1478" t="s">
        <v>1343</v>
      </c>
    </row>
    <row r="1479" spans="1:3" x14ac:dyDescent="0.2">
      <c r="A1479" t="s">
        <v>3699</v>
      </c>
      <c r="B1479" t="s">
        <v>1339</v>
      </c>
      <c r="C1479" t="s">
        <v>1343</v>
      </c>
    </row>
    <row r="1480" spans="1:3" x14ac:dyDescent="0.2">
      <c r="A1480" t="s">
        <v>3700</v>
      </c>
      <c r="B1480" t="s">
        <v>1339</v>
      </c>
      <c r="C1480" t="s">
        <v>1343</v>
      </c>
    </row>
    <row r="1481" spans="1:3" x14ac:dyDescent="0.2">
      <c r="A1481" t="s">
        <v>3701</v>
      </c>
      <c r="B1481" t="s">
        <v>1339</v>
      </c>
      <c r="C1481" t="s">
        <v>1343</v>
      </c>
    </row>
    <row r="1482" spans="1:3" x14ac:dyDescent="0.2">
      <c r="A1482" t="s">
        <v>3702</v>
      </c>
      <c r="B1482" t="s">
        <v>1339</v>
      </c>
      <c r="C1482" t="s">
        <v>1343</v>
      </c>
    </row>
    <row r="1483" spans="1:3" x14ac:dyDescent="0.2">
      <c r="A1483" t="s">
        <v>3703</v>
      </c>
      <c r="B1483" t="s">
        <v>1339</v>
      </c>
      <c r="C1483" t="s">
        <v>1343</v>
      </c>
    </row>
    <row r="1484" spans="1:3" x14ac:dyDescent="0.2">
      <c r="A1484" t="s">
        <v>3704</v>
      </c>
      <c r="B1484" t="s">
        <v>1339</v>
      </c>
      <c r="C1484" t="s">
        <v>1343</v>
      </c>
    </row>
    <row r="1485" spans="1:3" x14ac:dyDescent="0.2">
      <c r="A1485" t="s">
        <v>3705</v>
      </c>
      <c r="B1485" t="s">
        <v>1339</v>
      </c>
      <c r="C1485" t="s">
        <v>1343</v>
      </c>
    </row>
    <row r="1486" spans="1:3" x14ac:dyDescent="0.2">
      <c r="A1486" t="s">
        <v>3706</v>
      </c>
      <c r="B1486" t="s">
        <v>1339</v>
      </c>
      <c r="C1486" t="s">
        <v>1343</v>
      </c>
    </row>
    <row r="1487" spans="1:3" x14ac:dyDescent="0.2">
      <c r="A1487" t="s">
        <v>3707</v>
      </c>
      <c r="B1487" t="s">
        <v>1339</v>
      </c>
      <c r="C1487" t="s">
        <v>1343</v>
      </c>
    </row>
    <row r="1488" spans="1:3" x14ac:dyDescent="0.2">
      <c r="A1488" t="s">
        <v>3708</v>
      </c>
      <c r="B1488" t="s">
        <v>1339</v>
      </c>
      <c r="C1488" t="s">
        <v>1343</v>
      </c>
    </row>
    <row r="1489" spans="1:3" x14ac:dyDescent="0.2">
      <c r="A1489" t="s">
        <v>3709</v>
      </c>
      <c r="B1489" t="s">
        <v>1339</v>
      </c>
      <c r="C1489" t="s">
        <v>1343</v>
      </c>
    </row>
    <row r="1490" spans="1:3" x14ac:dyDescent="0.2">
      <c r="A1490" t="s">
        <v>3710</v>
      </c>
      <c r="B1490" t="s">
        <v>1339</v>
      </c>
      <c r="C1490" t="s">
        <v>1343</v>
      </c>
    </row>
    <row r="1491" spans="1:3" x14ac:dyDescent="0.2">
      <c r="A1491" t="s">
        <v>3711</v>
      </c>
      <c r="B1491" t="s">
        <v>1339</v>
      </c>
      <c r="C1491" t="s">
        <v>1343</v>
      </c>
    </row>
    <row r="1492" spans="1:3" x14ac:dyDescent="0.2">
      <c r="A1492" t="s">
        <v>3712</v>
      </c>
      <c r="B1492" t="s">
        <v>1339</v>
      </c>
      <c r="C1492" t="s">
        <v>1343</v>
      </c>
    </row>
    <row r="1493" spans="1:3" x14ac:dyDescent="0.2">
      <c r="A1493" t="s">
        <v>3713</v>
      </c>
      <c r="B1493" t="s">
        <v>1339</v>
      </c>
      <c r="C1493" t="s">
        <v>1343</v>
      </c>
    </row>
    <row r="1494" spans="1:3" x14ac:dyDescent="0.2">
      <c r="A1494" t="s">
        <v>3714</v>
      </c>
      <c r="B1494" t="s">
        <v>1339</v>
      </c>
      <c r="C1494" t="s">
        <v>1343</v>
      </c>
    </row>
    <row r="1495" spans="1:3" x14ac:dyDescent="0.2">
      <c r="A1495" t="s">
        <v>3715</v>
      </c>
      <c r="B1495" t="s">
        <v>1339</v>
      </c>
      <c r="C1495" t="s">
        <v>1343</v>
      </c>
    </row>
    <row r="1496" spans="1:3" x14ac:dyDescent="0.2">
      <c r="A1496" t="s">
        <v>3716</v>
      </c>
      <c r="B1496" t="s">
        <v>1339</v>
      </c>
      <c r="C1496" t="s">
        <v>1343</v>
      </c>
    </row>
    <row r="1497" spans="1:3" x14ac:dyDescent="0.2">
      <c r="A1497" t="s">
        <v>3717</v>
      </c>
      <c r="B1497" t="s">
        <v>1339</v>
      </c>
      <c r="C1497" t="s">
        <v>1343</v>
      </c>
    </row>
    <row r="1498" spans="1:3" x14ac:dyDescent="0.2">
      <c r="A1498" t="s">
        <v>3718</v>
      </c>
      <c r="B1498" t="s">
        <v>1339</v>
      </c>
      <c r="C1498" t="s">
        <v>1343</v>
      </c>
    </row>
    <row r="1499" spans="1:3" x14ac:dyDescent="0.2">
      <c r="A1499" t="s">
        <v>3719</v>
      </c>
      <c r="B1499" t="s">
        <v>1339</v>
      </c>
      <c r="C1499" t="s">
        <v>1343</v>
      </c>
    </row>
    <row r="1500" spans="1:3" x14ac:dyDescent="0.2">
      <c r="A1500" t="s">
        <v>3720</v>
      </c>
      <c r="B1500" t="s">
        <v>1339</v>
      </c>
      <c r="C1500" t="s">
        <v>1343</v>
      </c>
    </row>
    <row r="1501" spans="1:3" x14ac:dyDescent="0.2">
      <c r="A1501" t="s">
        <v>3721</v>
      </c>
      <c r="B1501" t="s">
        <v>1339</v>
      </c>
      <c r="C1501" t="s">
        <v>1343</v>
      </c>
    </row>
    <row r="1502" spans="1:3" x14ac:dyDescent="0.2">
      <c r="A1502" t="s">
        <v>3722</v>
      </c>
      <c r="B1502" t="s">
        <v>1339</v>
      </c>
      <c r="C1502" t="s">
        <v>1343</v>
      </c>
    </row>
    <row r="1503" spans="1:3" x14ac:dyDescent="0.2">
      <c r="A1503" t="s">
        <v>3723</v>
      </c>
      <c r="B1503" t="s">
        <v>1339</v>
      </c>
      <c r="C1503" t="s">
        <v>1343</v>
      </c>
    </row>
    <row r="1504" spans="1:3" x14ac:dyDescent="0.2">
      <c r="A1504" t="s">
        <v>3724</v>
      </c>
      <c r="B1504" t="s">
        <v>1339</v>
      </c>
      <c r="C1504" t="s">
        <v>1343</v>
      </c>
    </row>
    <row r="1505" spans="1:3" x14ac:dyDescent="0.2">
      <c r="A1505" t="s">
        <v>3725</v>
      </c>
      <c r="B1505" t="s">
        <v>1339</v>
      </c>
      <c r="C1505" t="s">
        <v>1343</v>
      </c>
    </row>
    <row r="1506" spans="1:3" x14ac:dyDescent="0.2">
      <c r="A1506" t="s">
        <v>3726</v>
      </c>
      <c r="B1506" t="s">
        <v>1339</v>
      </c>
      <c r="C1506" t="s">
        <v>1343</v>
      </c>
    </row>
    <row r="1507" spans="1:3" x14ac:dyDescent="0.2">
      <c r="A1507" t="s">
        <v>3727</v>
      </c>
      <c r="B1507" t="s">
        <v>1339</v>
      </c>
      <c r="C1507" t="s">
        <v>1343</v>
      </c>
    </row>
    <row r="1508" spans="1:3" x14ac:dyDescent="0.2">
      <c r="A1508" t="s">
        <v>3728</v>
      </c>
      <c r="B1508" t="s">
        <v>1339</v>
      </c>
      <c r="C1508" t="s">
        <v>1343</v>
      </c>
    </row>
    <row r="1509" spans="1:3" x14ac:dyDescent="0.2">
      <c r="A1509" t="s">
        <v>3729</v>
      </c>
      <c r="B1509" t="s">
        <v>1339</v>
      </c>
      <c r="C1509" t="s">
        <v>1343</v>
      </c>
    </row>
    <row r="1510" spans="1:3" x14ac:dyDescent="0.2">
      <c r="A1510" t="s">
        <v>3730</v>
      </c>
      <c r="B1510" t="s">
        <v>1339</v>
      </c>
      <c r="C1510" t="s">
        <v>1343</v>
      </c>
    </row>
    <row r="1511" spans="1:3" x14ac:dyDescent="0.2">
      <c r="A1511" t="s">
        <v>3731</v>
      </c>
      <c r="B1511" t="s">
        <v>1339</v>
      </c>
      <c r="C1511" t="s">
        <v>1343</v>
      </c>
    </row>
    <row r="1512" spans="1:3" x14ac:dyDescent="0.2">
      <c r="A1512" t="s">
        <v>3732</v>
      </c>
      <c r="B1512" t="s">
        <v>1339</v>
      </c>
      <c r="C1512" t="s">
        <v>1343</v>
      </c>
    </row>
    <row r="1513" spans="1:3" x14ac:dyDescent="0.2">
      <c r="A1513" t="s">
        <v>3733</v>
      </c>
      <c r="B1513" t="s">
        <v>1339</v>
      </c>
      <c r="C1513" t="s">
        <v>1343</v>
      </c>
    </row>
    <row r="1514" spans="1:3" x14ac:dyDescent="0.2">
      <c r="A1514" t="s">
        <v>3734</v>
      </c>
      <c r="B1514" t="s">
        <v>1339</v>
      </c>
      <c r="C1514" t="s">
        <v>1343</v>
      </c>
    </row>
    <row r="1515" spans="1:3" x14ac:dyDescent="0.2">
      <c r="A1515" t="s">
        <v>3735</v>
      </c>
      <c r="B1515" t="s">
        <v>1339</v>
      </c>
      <c r="C1515" t="s">
        <v>1343</v>
      </c>
    </row>
    <row r="1516" spans="1:3" x14ac:dyDescent="0.2">
      <c r="A1516" t="s">
        <v>3736</v>
      </c>
      <c r="B1516" t="s">
        <v>1339</v>
      </c>
      <c r="C1516" t="s">
        <v>1343</v>
      </c>
    </row>
    <row r="1517" spans="1:3" x14ac:dyDescent="0.2">
      <c r="A1517" t="s">
        <v>3737</v>
      </c>
      <c r="B1517" t="s">
        <v>1339</v>
      </c>
      <c r="C1517" t="s">
        <v>1343</v>
      </c>
    </row>
    <row r="1518" spans="1:3" x14ac:dyDescent="0.2">
      <c r="A1518" t="s">
        <v>3738</v>
      </c>
      <c r="B1518" t="s">
        <v>1339</v>
      </c>
      <c r="C1518" t="s">
        <v>1343</v>
      </c>
    </row>
    <row r="1519" spans="1:3" x14ac:dyDescent="0.2">
      <c r="A1519" t="s">
        <v>3739</v>
      </c>
      <c r="B1519" t="s">
        <v>1339</v>
      </c>
      <c r="C1519" t="s">
        <v>1343</v>
      </c>
    </row>
    <row r="1520" spans="1:3" x14ac:dyDescent="0.2">
      <c r="A1520" t="s">
        <v>3740</v>
      </c>
      <c r="B1520" t="s">
        <v>1339</v>
      </c>
      <c r="C1520" t="s">
        <v>1343</v>
      </c>
    </row>
    <row r="1521" spans="1:3" x14ac:dyDescent="0.2">
      <c r="A1521" t="s">
        <v>3741</v>
      </c>
      <c r="B1521" t="s">
        <v>1339</v>
      </c>
      <c r="C1521" t="s">
        <v>1343</v>
      </c>
    </row>
    <row r="1522" spans="1:3" x14ac:dyDescent="0.2">
      <c r="A1522" t="s">
        <v>3742</v>
      </c>
      <c r="B1522" t="s">
        <v>1339</v>
      </c>
      <c r="C1522" t="s">
        <v>1343</v>
      </c>
    </row>
    <row r="1523" spans="1:3" x14ac:dyDescent="0.2">
      <c r="A1523" t="s">
        <v>3743</v>
      </c>
      <c r="B1523" t="s">
        <v>1339</v>
      </c>
      <c r="C1523" t="s">
        <v>1343</v>
      </c>
    </row>
    <row r="1524" spans="1:3" x14ac:dyDescent="0.2">
      <c r="A1524" t="s">
        <v>3744</v>
      </c>
      <c r="B1524" t="s">
        <v>1339</v>
      </c>
      <c r="C1524" t="s">
        <v>1343</v>
      </c>
    </row>
    <row r="1525" spans="1:3" x14ac:dyDescent="0.2">
      <c r="A1525" t="s">
        <v>3745</v>
      </c>
      <c r="B1525" t="s">
        <v>1339</v>
      </c>
      <c r="C1525" t="s">
        <v>1343</v>
      </c>
    </row>
    <row r="1526" spans="1:3" x14ac:dyDescent="0.2">
      <c r="A1526" t="s">
        <v>3746</v>
      </c>
      <c r="B1526" t="s">
        <v>1339</v>
      </c>
      <c r="C1526" t="s">
        <v>1343</v>
      </c>
    </row>
    <row r="1527" spans="1:3" x14ac:dyDescent="0.2">
      <c r="A1527" t="s">
        <v>3747</v>
      </c>
      <c r="B1527" t="s">
        <v>1339</v>
      </c>
      <c r="C1527" t="s">
        <v>1343</v>
      </c>
    </row>
    <row r="1528" spans="1:3" x14ac:dyDescent="0.2">
      <c r="A1528" t="s">
        <v>3748</v>
      </c>
      <c r="B1528" t="s">
        <v>1339</v>
      </c>
      <c r="C1528" t="s">
        <v>1343</v>
      </c>
    </row>
    <row r="1529" spans="1:3" x14ac:dyDescent="0.2">
      <c r="A1529" t="s">
        <v>3749</v>
      </c>
      <c r="B1529" t="s">
        <v>1339</v>
      </c>
      <c r="C1529" t="s">
        <v>1343</v>
      </c>
    </row>
    <row r="1530" spans="1:3" x14ac:dyDescent="0.2">
      <c r="A1530" t="s">
        <v>3750</v>
      </c>
      <c r="B1530" t="s">
        <v>1339</v>
      </c>
      <c r="C1530" t="s">
        <v>1343</v>
      </c>
    </row>
    <row r="1531" spans="1:3" x14ac:dyDescent="0.2">
      <c r="A1531" t="s">
        <v>3751</v>
      </c>
      <c r="B1531" t="s">
        <v>1339</v>
      </c>
      <c r="C1531" t="s">
        <v>1343</v>
      </c>
    </row>
    <row r="1532" spans="1:3" x14ac:dyDescent="0.2">
      <c r="A1532" t="s">
        <v>3752</v>
      </c>
      <c r="B1532" t="s">
        <v>1339</v>
      </c>
      <c r="C1532" t="s">
        <v>1343</v>
      </c>
    </row>
    <row r="1533" spans="1:3" x14ac:dyDescent="0.2">
      <c r="A1533" t="s">
        <v>3753</v>
      </c>
      <c r="B1533" t="s">
        <v>1339</v>
      </c>
      <c r="C1533" t="s">
        <v>1343</v>
      </c>
    </row>
    <row r="1534" spans="1:3" x14ac:dyDescent="0.2">
      <c r="A1534" t="s">
        <v>3754</v>
      </c>
      <c r="B1534" t="s">
        <v>1339</v>
      </c>
      <c r="C1534" t="s">
        <v>1343</v>
      </c>
    </row>
    <row r="1535" spans="1:3" x14ac:dyDescent="0.2">
      <c r="A1535" t="s">
        <v>3755</v>
      </c>
      <c r="B1535" t="s">
        <v>1339</v>
      </c>
      <c r="C1535" t="s">
        <v>1343</v>
      </c>
    </row>
    <row r="1536" spans="1:3" x14ac:dyDescent="0.2">
      <c r="A1536" t="s">
        <v>3756</v>
      </c>
      <c r="B1536" t="s">
        <v>1339</v>
      </c>
      <c r="C1536" t="s">
        <v>1343</v>
      </c>
    </row>
    <row r="1537" spans="1:3" x14ac:dyDescent="0.2">
      <c r="A1537" t="s">
        <v>3757</v>
      </c>
      <c r="B1537" t="s">
        <v>1339</v>
      </c>
      <c r="C1537" t="s">
        <v>1343</v>
      </c>
    </row>
    <row r="1538" spans="1:3" x14ac:dyDescent="0.2">
      <c r="A1538" t="s">
        <v>3758</v>
      </c>
      <c r="B1538" t="s">
        <v>1339</v>
      </c>
      <c r="C1538" t="s">
        <v>1343</v>
      </c>
    </row>
    <row r="1539" spans="1:3" x14ac:dyDescent="0.2">
      <c r="A1539" t="s">
        <v>3759</v>
      </c>
      <c r="B1539" t="s">
        <v>1339</v>
      </c>
      <c r="C1539" t="s">
        <v>1343</v>
      </c>
    </row>
    <row r="1540" spans="1:3" x14ac:dyDescent="0.2">
      <c r="A1540" t="s">
        <v>3760</v>
      </c>
      <c r="B1540" t="s">
        <v>1339</v>
      </c>
      <c r="C1540" t="s">
        <v>1343</v>
      </c>
    </row>
    <row r="1541" spans="1:3" x14ac:dyDescent="0.2">
      <c r="A1541" t="s">
        <v>3761</v>
      </c>
      <c r="B1541" t="s">
        <v>1339</v>
      </c>
      <c r="C1541" t="s">
        <v>1343</v>
      </c>
    </row>
    <row r="1542" spans="1:3" x14ac:dyDescent="0.2">
      <c r="A1542" t="s">
        <v>3762</v>
      </c>
      <c r="B1542" t="s">
        <v>1339</v>
      </c>
      <c r="C1542" t="s">
        <v>1343</v>
      </c>
    </row>
    <row r="1543" spans="1:3" x14ac:dyDescent="0.2">
      <c r="A1543" t="s">
        <v>3763</v>
      </c>
      <c r="B1543" t="s">
        <v>1339</v>
      </c>
      <c r="C1543" t="s">
        <v>1343</v>
      </c>
    </row>
    <row r="1544" spans="1:3" x14ac:dyDescent="0.2">
      <c r="A1544" t="s">
        <v>3764</v>
      </c>
      <c r="B1544" t="s">
        <v>1339</v>
      </c>
      <c r="C1544" t="s">
        <v>1343</v>
      </c>
    </row>
    <row r="1545" spans="1:3" x14ac:dyDescent="0.2">
      <c r="A1545" t="s">
        <v>3765</v>
      </c>
      <c r="B1545" t="s">
        <v>1339</v>
      </c>
      <c r="C1545" t="s">
        <v>1343</v>
      </c>
    </row>
    <row r="1546" spans="1:3" x14ac:dyDescent="0.2">
      <c r="A1546" t="s">
        <v>3766</v>
      </c>
      <c r="B1546" t="s">
        <v>1339</v>
      </c>
      <c r="C1546" t="s">
        <v>1343</v>
      </c>
    </row>
    <row r="1547" spans="1:3" x14ac:dyDescent="0.2">
      <c r="A1547" t="s">
        <v>3767</v>
      </c>
      <c r="B1547" t="s">
        <v>1339</v>
      </c>
      <c r="C1547" t="s">
        <v>1343</v>
      </c>
    </row>
    <row r="1548" spans="1:3" x14ac:dyDescent="0.2">
      <c r="A1548" t="s">
        <v>3768</v>
      </c>
      <c r="B1548" t="s">
        <v>1339</v>
      </c>
      <c r="C1548" t="s">
        <v>1343</v>
      </c>
    </row>
    <row r="1549" spans="1:3" x14ac:dyDescent="0.2">
      <c r="A1549" t="s">
        <v>3769</v>
      </c>
      <c r="B1549" t="s">
        <v>1339</v>
      </c>
      <c r="C1549" t="s">
        <v>1343</v>
      </c>
    </row>
    <row r="1550" spans="1:3" x14ac:dyDescent="0.2">
      <c r="A1550" t="s">
        <v>3770</v>
      </c>
      <c r="B1550" t="s">
        <v>1339</v>
      </c>
      <c r="C1550" t="s">
        <v>1343</v>
      </c>
    </row>
    <row r="1551" spans="1:3" x14ac:dyDescent="0.2">
      <c r="A1551" t="s">
        <v>3771</v>
      </c>
      <c r="B1551" t="s">
        <v>1339</v>
      </c>
      <c r="C1551" t="s">
        <v>1343</v>
      </c>
    </row>
    <row r="1552" spans="1:3" x14ac:dyDescent="0.2">
      <c r="A1552" t="s">
        <v>3772</v>
      </c>
      <c r="B1552" t="s">
        <v>1339</v>
      </c>
      <c r="C1552" t="s">
        <v>1343</v>
      </c>
    </row>
    <row r="1553" spans="1:3" x14ac:dyDescent="0.2">
      <c r="A1553" t="s">
        <v>3773</v>
      </c>
      <c r="B1553" t="s">
        <v>1339</v>
      </c>
      <c r="C1553" t="s">
        <v>1343</v>
      </c>
    </row>
    <row r="1554" spans="1:3" x14ac:dyDescent="0.2">
      <c r="A1554" t="s">
        <v>3774</v>
      </c>
      <c r="B1554" t="s">
        <v>1339</v>
      </c>
      <c r="C1554" t="s">
        <v>1343</v>
      </c>
    </row>
    <row r="1555" spans="1:3" x14ac:dyDescent="0.2">
      <c r="A1555" t="s">
        <v>3775</v>
      </c>
      <c r="B1555" t="s">
        <v>1339</v>
      </c>
      <c r="C1555" t="s">
        <v>1343</v>
      </c>
    </row>
    <row r="1556" spans="1:3" x14ac:dyDescent="0.2">
      <c r="A1556" t="s">
        <v>3776</v>
      </c>
      <c r="B1556" t="s">
        <v>1339</v>
      </c>
      <c r="C1556" t="s">
        <v>1343</v>
      </c>
    </row>
    <row r="1557" spans="1:3" x14ac:dyDescent="0.2">
      <c r="A1557" t="s">
        <v>3777</v>
      </c>
      <c r="B1557" t="s">
        <v>1339</v>
      </c>
      <c r="C1557" t="s">
        <v>1343</v>
      </c>
    </row>
    <row r="1558" spans="1:3" x14ac:dyDescent="0.2">
      <c r="A1558" t="s">
        <v>3778</v>
      </c>
      <c r="B1558" t="s">
        <v>1339</v>
      </c>
      <c r="C1558" t="s">
        <v>1343</v>
      </c>
    </row>
    <row r="1559" spans="1:3" x14ac:dyDescent="0.2">
      <c r="A1559" t="s">
        <v>3779</v>
      </c>
      <c r="B1559" t="s">
        <v>1339</v>
      </c>
      <c r="C1559" t="s">
        <v>1343</v>
      </c>
    </row>
    <row r="1560" spans="1:3" x14ac:dyDescent="0.2">
      <c r="A1560" t="s">
        <v>3780</v>
      </c>
      <c r="B1560" t="s">
        <v>1339</v>
      </c>
      <c r="C1560" t="s">
        <v>1343</v>
      </c>
    </row>
    <row r="1561" spans="1:3" x14ac:dyDescent="0.2">
      <c r="A1561" t="s">
        <v>3781</v>
      </c>
      <c r="B1561" t="s">
        <v>1339</v>
      </c>
      <c r="C1561" t="s">
        <v>1343</v>
      </c>
    </row>
    <row r="1562" spans="1:3" x14ac:dyDescent="0.2">
      <c r="A1562" t="s">
        <v>3782</v>
      </c>
      <c r="B1562" t="s">
        <v>1339</v>
      </c>
      <c r="C1562" t="s">
        <v>1343</v>
      </c>
    </row>
    <row r="1563" spans="1:3" x14ac:dyDescent="0.2">
      <c r="A1563" t="s">
        <v>3783</v>
      </c>
      <c r="B1563" t="s">
        <v>1339</v>
      </c>
      <c r="C1563" t="s">
        <v>1343</v>
      </c>
    </row>
    <row r="1564" spans="1:3" x14ac:dyDescent="0.2">
      <c r="A1564" t="s">
        <v>3784</v>
      </c>
      <c r="B1564" t="s">
        <v>1339</v>
      </c>
      <c r="C1564" t="s">
        <v>1343</v>
      </c>
    </row>
    <row r="1565" spans="1:3" x14ac:dyDescent="0.2">
      <c r="A1565" t="s">
        <v>3785</v>
      </c>
      <c r="B1565" t="s">
        <v>1339</v>
      </c>
      <c r="C1565" t="s">
        <v>1343</v>
      </c>
    </row>
    <row r="1566" spans="1:3" x14ac:dyDescent="0.2">
      <c r="A1566" t="s">
        <v>3786</v>
      </c>
      <c r="B1566" t="s">
        <v>1339</v>
      </c>
      <c r="C1566" t="s">
        <v>1343</v>
      </c>
    </row>
    <row r="1567" spans="1:3" x14ac:dyDescent="0.2">
      <c r="A1567" t="s">
        <v>3787</v>
      </c>
      <c r="B1567" t="s">
        <v>1339</v>
      </c>
      <c r="C1567" t="s">
        <v>1343</v>
      </c>
    </row>
    <row r="1568" spans="1:3" x14ac:dyDescent="0.2">
      <c r="A1568" t="s">
        <v>3788</v>
      </c>
      <c r="B1568" t="s">
        <v>1339</v>
      </c>
      <c r="C1568" t="s">
        <v>1343</v>
      </c>
    </row>
    <row r="1569" spans="1:3" x14ac:dyDescent="0.2">
      <c r="A1569" t="s">
        <v>3789</v>
      </c>
      <c r="B1569" t="s">
        <v>1339</v>
      </c>
      <c r="C1569" t="s">
        <v>1343</v>
      </c>
    </row>
    <row r="1570" spans="1:3" x14ac:dyDescent="0.2">
      <c r="A1570" t="s">
        <v>3790</v>
      </c>
      <c r="B1570" t="s">
        <v>1339</v>
      </c>
      <c r="C1570" t="s">
        <v>1343</v>
      </c>
    </row>
    <row r="1571" spans="1:3" x14ac:dyDescent="0.2">
      <c r="A1571" t="s">
        <v>3791</v>
      </c>
      <c r="B1571" t="s">
        <v>1339</v>
      </c>
      <c r="C1571" t="s">
        <v>1343</v>
      </c>
    </row>
    <row r="1572" spans="1:3" x14ac:dyDescent="0.2">
      <c r="A1572" t="s">
        <v>3792</v>
      </c>
      <c r="B1572" t="s">
        <v>1339</v>
      </c>
      <c r="C1572" t="s">
        <v>1343</v>
      </c>
    </row>
    <row r="1573" spans="1:3" x14ac:dyDescent="0.2">
      <c r="A1573" t="s">
        <v>3793</v>
      </c>
      <c r="B1573" t="s">
        <v>1339</v>
      </c>
      <c r="C1573" t="s">
        <v>1343</v>
      </c>
    </row>
    <row r="1574" spans="1:3" x14ac:dyDescent="0.2">
      <c r="A1574" t="s">
        <v>3794</v>
      </c>
      <c r="B1574" t="s">
        <v>1339</v>
      </c>
      <c r="C1574" t="s">
        <v>1343</v>
      </c>
    </row>
    <row r="1575" spans="1:3" x14ac:dyDescent="0.2">
      <c r="A1575" t="s">
        <v>3795</v>
      </c>
      <c r="B1575" t="s">
        <v>1339</v>
      </c>
      <c r="C1575" t="s">
        <v>1343</v>
      </c>
    </row>
    <row r="1576" spans="1:3" x14ac:dyDescent="0.2">
      <c r="A1576" t="s">
        <v>3796</v>
      </c>
      <c r="B1576" t="s">
        <v>1339</v>
      </c>
      <c r="C1576" t="s">
        <v>1343</v>
      </c>
    </row>
    <row r="1577" spans="1:3" x14ac:dyDescent="0.2">
      <c r="A1577" t="s">
        <v>3797</v>
      </c>
      <c r="B1577" t="s">
        <v>1339</v>
      </c>
      <c r="C1577" t="s">
        <v>1343</v>
      </c>
    </row>
    <row r="1578" spans="1:3" x14ac:dyDescent="0.2">
      <c r="A1578" t="s">
        <v>3798</v>
      </c>
      <c r="B1578" t="s">
        <v>1339</v>
      </c>
      <c r="C1578" t="s">
        <v>1343</v>
      </c>
    </row>
    <row r="1579" spans="1:3" x14ac:dyDescent="0.2">
      <c r="A1579" t="s">
        <v>3799</v>
      </c>
      <c r="B1579" t="s">
        <v>1339</v>
      </c>
      <c r="C1579" t="s">
        <v>1343</v>
      </c>
    </row>
    <row r="1580" spans="1:3" x14ac:dyDescent="0.2">
      <c r="A1580" t="s">
        <v>3800</v>
      </c>
      <c r="B1580" t="s">
        <v>1339</v>
      </c>
      <c r="C1580" t="s">
        <v>1343</v>
      </c>
    </row>
    <row r="1581" spans="1:3" x14ac:dyDescent="0.2">
      <c r="A1581" t="s">
        <v>3801</v>
      </c>
      <c r="B1581" t="s">
        <v>1339</v>
      </c>
      <c r="C1581" t="s">
        <v>1343</v>
      </c>
    </row>
    <row r="1582" spans="1:3" x14ac:dyDescent="0.2">
      <c r="A1582" t="s">
        <v>3802</v>
      </c>
      <c r="B1582" t="s">
        <v>1339</v>
      </c>
      <c r="C1582" t="s">
        <v>1343</v>
      </c>
    </row>
    <row r="1583" spans="1:3" x14ac:dyDescent="0.2">
      <c r="A1583" t="s">
        <v>3803</v>
      </c>
      <c r="B1583" t="s">
        <v>1339</v>
      </c>
      <c r="C1583" t="s">
        <v>1343</v>
      </c>
    </row>
    <row r="1584" spans="1:3" x14ac:dyDescent="0.2">
      <c r="A1584" t="s">
        <v>3804</v>
      </c>
      <c r="B1584" t="s">
        <v>1339</v>
      </c>
      <c r="C1584" t="s">
        <v>1343</v>
      </c>
    </row>
    <row r="1585" spans="1:3" x14ac:dyDescent="0.2">
      <c r="A1585" t="s">
        <v>3805</v>
      </c>
      <c r="B1585" t="s">
        <v>1339</v>
      </c>
      <c r="C1585" t="s">
        <v>1343</v>
      </c>
    </row>
    <row r="1586" spans="1:3" x14ac:dyDescent="0.2">
      <c r="A1586" t="s">
        <v>3806</v>
      </c>
      <c r="B1586" t="s">
        <v>1339</v>
      </c>
      <c r="C1586" t="s">
        <v>1343</v>
      </c>
    </row>
    <row r="1587" spans="1:3" x14ac:dyDescent="0.2">
      <c r="A1587" t="s">
        <v>3807</v>
      </c>
      <c r="B1587" t="s">
        <v>1339</v>
      </c>
      <c r="C1587" t="s">
        <v>1343</v>
      </c>
    </row>
    <row r="1588" spans="1:3" x14ac:dyDescent="0.2">
      <c r="A1588" t="s">
        <v>3808</v>
      </c>
      <c r="B1588" t="s">
        <v>1339</v>
      </c>
      <c r="C1588" t="s">
        <v>1343</v>
      </c>
    </row>
    <row r="1589" spans="1:3" x14ac:dyDescent="0.2">
      <c r="A1589" t="s">
        <v>3809</v>
      </c>
      <c r="B1589" t="s">
        <v>1339</v>
      </c>
      <c r="C1589" t="s">
        <v>1343</v>
      </c>
    </row>
    <row r="1590" spans="1:3" x14ac:dyDescent="0.2">
      <c r="A1590" t="s">
        <v>3810</v>
      </c>
      <c r="B1590" t="s">
        <v>1339</v>
      </c>
      <c r="C1590" t="s">
        <v>1343</v>
      </c>
    </row>
    <row r="1591" spans="1:3" x14ac:dyDescent="0.2">
      <c r="A1591" t="s">
        <v>5686</v>
      </c>
      <c r="B1591" t="s">
        <v>1339</v>
      </c>
      <c r="C1591" t="s">
        <v>1340</v>
      </c>
    </row>
    <row r="1592" spans="1:3" x14ac:dyDescent="0.2">
      <c r="A1592" t="s">
        <v>3811</v>
      </c>
      <c r="B1592" t="s">
        <v>1339</v>
      </c>
      <c r="C1592" t="s">
        <v>1343</v>
      </c>
    </row>
    <row r="1593" spans="1:3" x14ac:dyDescent="0.2">
      <c r="A1593" t="s">
        <v>3812</v>
      </c>
      <c r="B1593" t="s">
        <v>1339</v>
      </c>
      <c r="C1593" t="s">
        <v>1343</v>
      </c>
    </row>
    <row r="1594" spans="1:3" x14ac:dyDescent="0.2">
      <c r="A1594" t="s">
        <v>3813</v>
      </c>
      <c r="B1594" t="s">
        <v>1339</v>
      </c>
      <c r="C1594" t="s">
        <v>1343</v>
      </c>
    </row>
    <row r="1595" spans="1:3" x14ac:dyDescent="0.2">
      <c r="A1595" t="s">
        <v>3814</v>
      </c>
      <c r="B1595" t="s">
        <v>1339</v>
      </c>
      <c r="C1595" t="s">
        <v>1343</v>
      </c>
    </row>
    <row r="1596" spans="1:3" x14ac:dyDescent="0.2">
      <c r="A1596" t="s">
        <v>3815</v>
      </c>
      <c r="B1596" t="s">
        <v>1339</v>
      </c>
      <c r="C1596" t="s">
        <v>1343</v>
      </c>
    </row>
    <row r="1597" spans="1:3" x14ac:dyDescent="0.2">
      <c r="A1597" t="s">
        <v>3816</v>
      </c>
      <c r="B1597" t="s">
        <v>1339</v>
      </c>
      <c r="C1597" t="s">
        <v>1343</v>
      </c>
    </row>
    <row r="1598" spans="1:3" x14ac:dyDescent="0.2">
      <c r="A1598" t="s">
        <v>3817</v>
      </c>
      <c r="B1598" t="s">
        <v>1339</v>
      </c>
      <c r="C1598" t="s">
        <v>1343</v>
      </c>
    </row>
    <row r="1599" spans="1:3" x14ac:dyDescent="0.2">
      <c r="A1599" t="s">
        <v>3818</v>
      </c>
      <c r="B1599" t="s">
        <v>1339</v>
      </c>
      <c r="C1599" t="s">
        <v>1343</v>
      </c>
    </row>
    <row r="1600" spans="1:3" x14ac:dyDescent="0.2">
      <c r="A1600" t="s">
        <v>3819</v>
      </c>
      <c r="B1600" t="s">
        <v>1339</v>
      </c>
      <c r="C1600" t="s">
        <v>1343</v>
      </c>
    </row>
    <row r="1601" spans="1:3" x14ac:dyDescent="0.2">
      <c r="A1601" t="s">
        <v>3820</v>
      </c>
      <c r="B1601" t="s">
        <v>1339</v>
      </c>
      <c r="C1601" t="s">
        <v>1343</v>
      </c>
    </row>
    <row r="1602" spans="1:3" x14ac:dyDescent="0.2">
      <c r="A1602" t="s">
        <v>3821</v>
      </c>
      <c r="B1602" t="s">
        <v>1339</v>
      </c>
      <c r="C1602" t="s">
        <v>1343</v>
      </c>
    </row>
    <row r="1603" spans="1:3" x14ac:dyDescent="0.2">
      <c r="A1603" t="s">
        <v>3822</v>
      </c>
      <c r="B1603" t="s">
        <v>1339</v>
      </c>
      <c r="C1603" t="s">
        <v>1343</v>
      </c>
    </row>
    <row r="1604" spans="1:3" x14ac:dyDescent="0.2">
      <c r="A1604" t="s">
        <v>3823</v>
      </c>
      <c r="B1604" t="s">
        <v>1339</v>
      </c>
      <c r="C1604" t="s">
        <v>1343</v>
      </c>
    </row>
    <row r="1605" spans="1:3" x14ac:dyDescent="0.2">
      <c r="A1605" t="s">
        <v>3824</v>
      </c>
      <c r="B1605" t="s">
        <v>1339</v>
      </c>
      <c r="C1605" t="s">
        <v>1343</v>
      </c>
    </row>
    <row r="1606" spans="1:3" x14ac:dyDescent="0.2">
      <c r="A1606" t="s">
        <v>3825</v>
      </c>
      <c r="B1606" t="s">
        <v>1339</v>
      </c>
      <c r="C1606" t="s">
        <v>1343</v>
      </c>
    </row>
    <row r="1607" spans="1:3" x14ac:dyDescent="0.2">
      <c r="A1607" t="s">
        <v>1344</v>
      </c>
      <c r="B1607" t="s">
        <v>1339</v>
      </c>
      <c r="C1607" t="s">
        <v>1343</v>
      </c>
    </row>
    <row r="1608" spans="1:3" x14ac:dyDescent="0.2">
      <c r="A1608" t="s">
        <v>3826</v>
      </c>
      <c r="B1608" t="s">
        <v>1339</v>
      </c>
      <c r="C1608" t="s">
        <v>1343</v>
      </c>
    </row>
    <row r="1609" spans="1:3" x14ac:dyDescent="0.2">
      <c r="A1609" t="s">
        <v>3827</v>
      </c>
      <c r="B1609" t="s">
        <v>1339</v>
      </c>
      <c r="C1609" t="s">
        <v>1343</v>
      </c>
    </row>
    <row r="1610" spans="1:3" x14ac:dyDescent="0.2">
      <c r="A1610" t="s">
        <v>6393</v>
      </c>
      <c r="B1610" t="s">
        <v>1339</v>
      </c>
      <c r="C1610" t="s">
        <v>1343</v>
      </c>
    </row>
    <row r="1611" spans="1:3" x14ac:dyDescent="0.2">
      <c r="A1611" t="s">
        <v>3828</v>
      </c>
      <c r="B1611" t="s">
        <v>1339</v>
      </c>
      <c r="C1611" t="s">
        <v>1343</v>
      </c>
    </row>
    <row r="1612" spans="1:3" x14ac:dyDescent="0.2">
      <c r="A1612" t="s">
        <v>3829</v>
      </c>
      <c r="B1612" t="s">
        <v>1339</v>
      </c>
      <c r="C1612" t="s">
        <v>1343</v>
      </c>
    </row>
    <row r="1613" spans="1:3" x14ac:dyDescent="0.2">
      <c r="A1613" t="s">
        <v>3830</v>
      </c>
      <c r="B1613" t="s">
        <v>1339</v>
      </c>
      <c r="C1613" t="s">
        <v>1343</v>
      </c>
    </row>
    <row r="1614" spans="1:3" x14ac:dyDescent="0.2">
      <c r="A1614" t="s">
        <v>3831</v>
      </c>
      <c r="B1614" t="s">
        <v>1339</v>
      </c>
      <c r="C1614" t="s">
        <v>1343</v>
      </c>
    </row>
    <row r="1615" spans="1:3" x14ac:dyDescent="0.2">
      <c r="A1615" t="s">
        <v>3832</v>
      </c>
      <c r="B1615" t="s">
        <v>1339</v>
      </c>
      <c r="C1615" t="s">
        <v>1343</v>
      </c>
    </row>
    <row r="1616" spans="1:3" x14ac:dyDescent="0.2">
      <c r="A1616" t="s">
        <v>3833</v>
      </c>
      <c r="B1616" t="s">
        <v>1339</v>
      </c>
      <c r="C1616" t="s">
        <v>1343</v>
      </c>
    </row>
    <row r="1617" spans="1:3" x14ac:dyDescent="0.2">
      <c r="A1617" t="s">
        <v>3834</v>
      </c>
      <c r="B1617" t="s">
        <v>1339</v>
      </c>
      <c r="C1617" t="s">
        <v>1343</v>
      </c>
    </row>
    <row r="1618" spans="1:3" x14ac:dyDescent="0.2">
      <c r="A1618" t="s">
        <v>3835</v>
      </c>
      <c r="B1618" t="s">
        <v>1339</v>
      </c>
      <c r="C1618" t="s">
        <v>1343</v>
      </c>
    </row>
    <row r="1619" spans="1:3" x14ac:dyDescent="0.2">
      <c r="A1619" t="s">
        <v>3836</v>
      </c>
      <c r="B1619" t="s">
        <v>1339</v>
      </c>
      <c r="C1619" t="s">
        <v>1343</v>
      </c>
    </row>
    <row r="1620" spans="1:3" x14ac:dyDescent="0.2">
      <c r="A1620" t="s">
        <v>3837</v>
      </c>
      <c r="B1620" t="s">
        <v>1339</v>
      </c>
      <c r="C1620" t="s">
        <v>1343</v>
      </c>
    </row>
    <row r="1621" spans="1:3" x14ac:dyDescent="0.2">
      <c r="A1621" t="s">
        <v>3838</v>
      </c>
      <c r="B1621" t="s">
        <v>1339</v>
      </c>
      <c r="C1621" t="s">
        <v>1343</v>
      </c>
    </row>
    <row r="1622" spans="1:3" x14ac:dyDescent="0.2">
      <c r="A1622" t="s">
        <v>3839</v>
      </c>
      <c r="B1622" t="s">
        <v>1339</v>
      </c>
      <c r="C1622" t="s">
        <v>1343</v>
      </c>
    </row>
    <row r="1623" spans="1:3" x14ac:dyDescent="0.2">
      <c r="A1623" t="s">
        <v>3840</v>
      </c>
      <c r="B1623" t="s">
        <v>1339</v>
      </c>
      <c r="C1623" t="s">
        <v>1343</v>
      </c>
    </row>
    <row r="1624" spans="1:3" x14ac:dyDescent="0.2">
      <c r="A1624" t="s">
        <v>3841</v>
      </c>
      <c r="B1624" t="s">
        <v>1339</v>
      </c>
      <c r="C1624" t="s">
        <v>1343</v>
      </c>
    </row>
    <row r="1625" spans="1:3" x14ac:dyDescent="0.2">
      <c r="A1625" t="s">
        <v>3842</v>
      </c>
      <c r="B1625" t="s">
        <v>1339</v>
      </c>
      <c r="C1625" t="s">
        <v>1343</v>
      </c>
    </row>
    <row r="1626" spans="1:3" x14ac:dyDescent="0.2">
      <c r="A1626" t="s">
        <v>3843</v>
      </c>
      <c r="B1626" t="s">
        <v>1339</v>
      </c>
      <c r="C1626" t="s">
        <v>1343</v>
      </c>
    </row>
    <row r="1627" spans="1:3" x14ac:dyDescent="0.2">
      <c r="A1627" t="s">
        <v>3844</v>
      </c>
      <c r="B1627" t="s">
        <v>1339</v>
      </c>
      <c r="C1627" t="s">
        <v>1343</v>
      </c>
    </row>
    <row r="1628" spans="1:3" x14ac:dyDescent="0.2">
      <c r="A1628" t="s">
        <v>3845</v>
      </c>
      <c r="B1628" t="s">
        <v>1339</v>
      </c>
      <c r="C1628" t="s">
        <v>1343</v>
      </c>
    </row>
    <row r="1629" spans="1:3" x14ac:dyDescent="0.2">
      <c r="A1629" t="s">
        <v>3846</v>
      </c>
      <c r="B1629" t="s">
        <v>1339</v>
      </c>
      <c r="C1629" t="s">
        <v>1343</v>
      </c>
    </row>
    <row r="1630" spans="1:3" x14ac:dyDescent="0.2">
      <c r="A1630" t="s">
        <v>3847</v>
      </c>
      <c r="B1630" t="s">
        <v>1339</v>
      </c>
      <c r="C1630" t="s">
        <v>1343</v>
      </c>
    </row>
    <row r="1631" spans="1:3" x14ac:dyDescent="0.2">
      <c r="A1631" t="s">
        <v>3848</v>
      </c>
      <c r="B1631" t="s">
        <v>1339</v>
      </c>
      <c r="C1631" t="s">
        <v>1343</v>
      </c>
    </row>
    <row r="1632" spans="1:3" x14ac:dyDescent="0.2">
      <c r="A1632" t="s">
        <v>3849</v>
      </c>
      <c r="B1632" t="s">
        <v>1339</v>
      </c>
      <c r="C1632" t="s">
        <v>1343</v>
      </c>
    </row>
    <row r="1633" spans="1:3" x14ac:dyDescent="0.2">
      <c r="A1633" t="s">
        <v>3850</v>
      </c>
      <c r="B1633" t="s">
        <v>1339</v>
      </c>
      <c r="C1633" t="s">
        <v>1343</v>
      </c>
    </row>
    <row r="1634" spans="1:3" x14ac:dyDescent="0.2">
      <c r="A1634" t="s">
        <v>3851</v>
      </c>
      <c r="B1634" t="s">
        <v>1339</v>
      </c>
      <c r="C1634" t="s">
        <v>1343</v>
      </c>
    </row>
    <row r="1635" spans="1:3" x14ac:dyDescent="0.2">
      <c r="A1635" t="s">
        <v>3852</v>
      </c>
      <c r="B1635" t="s">
        <v>1339</v>
      </c>
      <c r="C1635" t="s">
        <v>1343</v>
      </c>
    </row>
    <row r="1636" spans="1:3" x14ac:dyDescent="0.2">
      <c r="A1636" t="s">
        <v>3853</v>
      </c>
      <c r="B1636" t="s">
        <v>1339</v>
      </c>
      <c r="C1636" t="s">
        <v>1343</v>
      </c>
    </row>
    <row r="1637" spans="1:3" x14ac:dyDescent="0.2">
      <c r="A1637" t="s">
        <v>3854</v>
      </c>
      <c r="B1637" t="s">
        <v>1339</v>
      </c>
      <c r="C1637" t="s">
        <v>1343</v>
      </c>
    </row>
    <row r="1638" spans="1:3" x14ac:dyDescent="0.2">
      <c r="A1638" t="s">
        <v>3855</v>
      </c>
      <c r="B1638" t="s">
        <v>1339</v>
      </c>
      <c r="C1638" t="s">
        <v>1343</v>
      </c>
    </row>
    <row r="1639" spans="1:3" x14ac:dyDescent="0.2">
      <c r="A1639" t="s">
        <v>3856</v>
      </c>
      <c r="B1639" t="s">
        <v>1339</v>
      </c>
      <c r="C1639" t="s">
        <v>1343</v>
      </c>
    </row>
    <row r="1640" spans="1:3" x14ac:dyDescent="0.2">
      <c r="A1640" t="s">
        <v>3857</v>
      </c>
      <c r="B1640" t="s">
        <v>1339</v>
      </c>
      <c r="C1640" t="s">
        <v>1343</v>
      </c>
    </row>
    <row r="1641" spans="1:3" x14ac:dyDescent="0.2">
      <c r="A1641" t="s">
        <v>3858</v>
      </c>
      <c r="B1641" t="s">
        <v>1339</v>
      </c>
      <c r="C1641" t="s">
        <v>1343</v>
      </c>
    </row>
    <row r="1642" spans="1:3" x14ac:dyDescent="0.2">
      <c r="A1642" t="s">
        <v>3859</v>
      </c>
      <c r="B1642" t="s">
        <v>1339</v>
      </c>
      <c r="C1642" t="s">
        <v>1343</v>
      </c>
    </row>
    <row r="1643" spans="1:3" x14ac:dyDescent="0.2">
      <c r="A1643" t="s">
        <v>3860</v>
      </c>
      <c r="B1643" t="s">
        <v>1339</v>
      </c>
      <c r="C1643" t="s">
        <v>1343</v>
      </c>
    </row>
    <row r="1644" spans="1:3" x14ac:dyDescent="0.2">
      <c r="A1644" t="s">
        <v>3861</v>
      </c>
      <c r="B1644" t="s">
        <v>1339</v>
      </c>
      <c r="C1644" t="s">
        <v>1343</v>
      </c>
    </row>
    <row r="1645" spans="1:3" x14ac:dyDescent="0.2">
      <c r="A1645" t="s">
        <v>3862</v>
      </c>
      <c r="B1645" t="s">
        <v>1339</v>
      </c>
      <c r="C1645" t="s">
        <v>1343</v>
      </c>
    </row>
    <row r="1646" spans="1:3" x14ac:dyDescent="0.2">
      <c r="A1646" t="s">
        <v>6394</v>
      </c>
      <c r="B1646" t="s">
        <v>1339</v>
      </c>
      <c r="C1646" t="s">
        <v>1343</v>
      </c>
    </row>
    <row r="1647" spans="1:3" x14ac:dyDescent="0.2">
      <c r="A1647" t="s">
        <v>6395</v>
      </c>
      <c r="B1647" t="s">
        <v>1339</v>
      </c>
      <c r="C1647" t="s">
        <v>1343</v>
      </c>
    </row>
    <row r="1648" spans="1:3" x14ac:dyDescent="0.2">
      <c r="A1648" t="s">
        <v>3863</v>
      </c>
      <c r="B1648" t="s">
        <v>1339</v>
      </c>
      <c r="C1648" t="s">
        <v>1343</v>
      </c>
    </row>
    <row r="1649" spans="1:3" x14ac:dyDescent="0.2">
      <c r="A1649" t="s">
        <v>3864</v>
      </c>
      <c r="B1649" t="s">
        <v>1339</v>
      </c>
      <c r="C1649" t="s">
        <v>1343</v>
      </c>
    </row>
    <row r="1650" spans="1:3" x14ac:dyDescent="0.2">
      <c r="A1650" t="s">
        <v>6396</v>
      </c>
      <c r="B1650" t="s">
        <v>1339</v>
      </c>
      <c r="C1650" t="s">
        <v>1343</v>
      </c>
    </row>
    <row r="1651" spans="1:3" x14ac:dyDescent="0.2">
      <c r="A1651" t="s">
        <v>6397</v>
      </c>
      <c r="B1651" t="s">
        <v>1339</v>
      </c>
      <c r="C1651" t="s">
        <v>1343</v>
      </c>
    </row>
    <row r="1652" spans="1:3" x14ac:dyDescent="0.2">
      <c r="A1652" t="s">
        <v>5687</v>
      </c>
      <c r="B1652" t="s">
        <v>1339</v>
      </c>
      <c r="C1652" t="s">
        <v>1340</v>
      </c>
    </row>
    <row r="1653" spans="1:3" x14ac:dyDescent="0.2">
      <c r="A1653" t="s">
        <v>6398</v>
      </c>
      <c r="B1653" t="s">
        <v>1339</v>
      </c>
      <c r="C1653" t="s">
        <v>1343</v>
      </c>
    </row>
    <row r="1654" spans="1:3" x14ac:dyDescent="0.2">
      <c r="A1654" t="s">
        <v>6399</v>
      </c>
      <c r="B1654" t="s">
        <v>1339</v>
      </c>
      <c r="C1654" t="s">
        <v>1343</v>
      </c>
    </row>
    <row r="1655" spans="1:3" x14ac:dyDescent="0.2">
      <c r="A1655" t="s">
        <v>1345</v>
      </c>
      <c r="B1655" t="s">
        <v>1339</v>
      </c>
      <c r="C1655" t="s">
        <v>1343</v>
      </c>
    </row>
    <row r="1656" spans="1:3" x14ac:dyDescent="0.2">
      <c r="A1656" t="s">
        <v>6400</v>
      </c>
      <c r="B1656" t="s">
        <v>1339</v>
      </c>
      <c r="C1656" t="s">
        <v>1343</v>
      </c>
    </row>
    <row r="1657" spans="1:3" x14ac:dyDescent="0.2">
      <c r="A1657" t="s">
        <v>6401</v>
      </c>
      <c r="B1657" t="s">
        <v>1339</v>
      </c>
      <c r="C1657" t="s">
        <v>1343</v>
      </c>
    </row>
    <row r="1658" spans="1:3" x14ac:dyDescent="0.2">
      <c r="A1658" t="s">
        <v>6402</v>
      </c>
      <c r="B1658" t="s">
        <v>1339</v>
      </c>
      <c r="C1658" t="s">
        <v>1343</v>
      </c>
    </row>
    <row r="1659" spans="1:3" x14ac:dyDescent="0.2">
      <c r="A1659" t="s">
        <v>3865</v>
      </c>
      <c r="B1659" t="s">
        <v>1339</v>
      </c>
      <c r="C1659" t="s">
        <v>1343</v>
      </c>
    </row>
    <row r="1660" spans="1:3" x14ac:dyDescent="0.2">
      <c r="A1660" t="s">
        <v>6403</v>
      </c>
      <c r="B1660" t="s">
        <v>1339</v>
      </c>
      <c r="C1660" t="s">
        <v>1343</v>
      </c>
    </row>
    <row r="1661" spans="1:3" x14ac:dyDescent="0.2">
      <c r="A1661" t="s">
        <v>6404</v>
      </c>
      <c r="B1661" t="s">
        <v>1339</v>
      </c>
      <c r="C1661" t="s">
        <v>1343</v>
      </c>
    </row>
    <row r="1662" spans="1:3" x14ac:dyDescent="0.2">
      <c r="A1662" t="s">
        <v>6405</v>
      </c>
      <c r="B1662" t="s">
        <v>1339</v>
      </c>
      <c r="C1662" t="s">
        <v>1343</v>
      </c>
    </row>
    <row r="1663" spans="1:3" x14ac:dyDescent="0.2">
      <c r="A1663" t="s">
        <v>6406</v>
      </c>
      <c r="B1663" t="s">
        <v>1339</v>
      </c>
      <c r="C1663" t="s">
        <v>1343</v>
      </c>
    </row>
    <row r="1664" spans="1:3" x14ac:dyDescent="0.2">
      <c r="A1664" t="s">
        <v>6407</v>
      </c>
      <c r="B1664" t="s">
        <v>1339</v>
      </c>
      <c r="C1664" t="s">
        <v>1343</v>
      </c>
    </row>
    <row r="1665" spans="1:3" x14ac:dyDescent="0.2">
      <c r="A1665" t="s">
        <v>6408</v>
      </c>
      <c r="B1665" t="s">
        <v>1339</v>
      </c>
      <c r="C1665" t="s">
        <v>1343</v>
      </c>
    </row>
    <row r="1666" spans="1:3" x14ac:dyDescent="0.2">
      <c r="A1666" t="s">
        <v>6409</v>
      </c>
      <c r="B1666" t="s">
        <v>1339</v>
      </c>
      <c r="C1666" t="s">
        <v>1343</v>
      </c>
    </row>
    <row r="1667" spans="1:3" x14ac:dyDescent="0.2">
      <c r="A1667" t="s">
        <v>6410</v>
      </c>
      <c r="B1667" t="s">
        <v>1339</v>
      </c>
      <c r="C1667" t="s">
        <v>1343</v>
      </c>
    </row>
    <row r="1668" spans="1:3" x14ac:dyDescent="0.2">
      <c r="A1668" t="s">
        <v>6411</v>
      </c>
      <c r="B1668" t="s">
        <v>1339</v>
      </c>
      <c r="C1668" t="s">
        <v>1343</v>
      </c>
    </row>
    <row r="1669" spans="1:3" x14ac:dyDescent="0.2">
      <c r="A1669" t="s">
        <v>3866</v>
      </c>
      <c r="B1669" t="s">
        <v>1339</v>
      </c>
      <c r="C1669" t="s">
        <v>1343</v>
      </c>
    </row>
    <row r="1670" spans="1:3" x14ac:dyDescent="0.2">
      <c r="A1670" t="s">
        <v>3867</v>
      </c>
      <c r="B1670" t="s">
        <v>1339</v>
      </c>
      <c r="C1670" t="s">
        <v>1343</v>
      </c>
    </row>
    <row r="1671" spans="1:3" x14ac:dyDescent="0.2">
      <c r="A1671" t="s">
        <v>6412</v>
      </c>
      <c r="B1671" t="s">
        <v>1339</v>
      </c>
      <c r="C1671" t="s">
        <v>1343</v>
      </c>
    </row>
    <row r="1672" spans="1:3" x14ac:dyDescent="0.2">
      <c r="A1672" t="s">
        <v>6413</v>
      </c>
      <c r="B1672" t="s">
        <v>1339</v>
      </c>
      <c r="C1672" t="s">
        <v>1343</v>
      </c>
    </row>
    <row r="1673" spans="1:3" x14ac:dyDescent="0.2">
      <c r="A1673" t="s">
        <v>5829</v>
      </c>
      <c r="B1673" t="s">
        <v>1339</v>
      </c>
      <c r="C1673" t="s">
        <v>1343</v>
      </c>
    </row>
    <row r="1674" spans="1:3" x14ac:dyDescent="0.2">
      <c r="A1674" t="s">
        <v>6414</v>
      </c>
      <c r="B1674" t="s">
        <v>1339</v>
      </c>
      <c r="C1674" t="s">
        <v>1343</v>
      </c>
    </row>
    <row r="1675" spans="1:3" x14ac:dyDescent="0.2">
      <c r="A1675" t="s">
        <v>6415</v>
      </c>
      <c r="B1675" t="s">
        <v>1339</v>
      </c>
      <c r="C1675" t="s">
        <v>1343</v>
      </c>
    </row>
    <row r="1676" spans="1:3" x14ac:dyDescent="0.2">
      <c r="A1676" t="s">
        <v>5830</v>
      </c>
      <c r="B1676" t="s">
        <v>1339</v>
      </c>
      <c r="C1676" t="s">
        <v>1343</v>
      </c>
    </row>
    <row r="1677" spans="1:3" x14ac:dyDescent="0.2">
      <c r="A1677" t="s">
        <v>6416</v>
      </c>
      <c r="B1677" t="s">
        <v>1339</v>
      </c>
      <c r="C1677" t="s">
        <v>1343</v>
      </c>
    </row>
    <row r="1678" spans="1:3" x14ac:dyDescent="0.2">
      <c r="A1678" t="s">
        <v>6417</v>
      </c>
      <c r="B1678" t="s">
        <v>1339</v>
      </c>
      <c r="C1678" t="s">
        <v>1343</v>
      </c>
    </row>
    <row r="1679" spans="1:3" x14ac:dyDescent="0.2">
      <c r="A1679" t="s">
        <v>6418</v>
      </c>
      <c r="B1679" t="s">
        <v>1339</v>
      </c>
      <c r="C1679" t="s">
        <v>1343</v>
      </c>
    </row>
    <row r="1680" spans="1:3" x14ac:dyDescent="0.2">
      <c r="A1680" t="s">
        <v>6419</v>
      </c>
      <c r="B1680" t="s">
        <v>1339</v>
      </c>
      <c r="C1680" t="s">
        <v>1343</v>
      </c>
    </row>
    <row r="1681" spans="1:3" x14ac:dyDescent="0.2">
      <c r="A1681" t="s">
        <v>3868</v>
      </c>
      <c r="B1681" t="s">
        <v>1339</v>
      </c>
      <c r="C1681" t="s">
        <v>1343</v>
      </c>
    </row>
    <row r="1682" spans="1:3" x14ac:dyDescent="0.2">
      <c r="A1682" t="s">
        <v>3869</v>
      </c>
      <c r="B1682" t="s">
        <v>1339</v>
      </c>
      <c r="C1682" t="s">
        <v>1343</v>
      </c>
    </row>
    <row r="1683" spans="1:3" x14ac:dyDescent="0.2">
      <c r="A1683" t="s">
        <v>3870</v>
      </c>
      <c r="B1683" t="s">
        <v>1339</v>
      </c>
      <c r="C1683" t="s">
        <v>1343</v>
      </c>
    </row>
    <row r="1684" spans="1:3" x14ac:dyDescent="0.2">
      <c r="A1684" t="s">
        <v>3871</v>
      </c>
      <c r="B1684" t="s">
        <v>1339</v>
      </c>
      <c r="C1684" t="s">
        <v>1343</v>
      </c>
    </row>
    <row r="1685" spans="1:3" x14ac:dyDescent="0.2">
      <c r="A1685" t="s">
        <v>6420</v>
      </c>
      <c r="B1685" t="s">
        <v>1339</v>
      </c>
      <c r="C1685" t="s">
        <v>1343</v>
      </c>
    </row>
    <row r="1686" spans="1:3" x14ac:dyDescent="0.2">
      <c r="A1686" t="s">
        <v>5688</v>
      </c>
      <c r="B1686" t="s">
        <v>1339</v>
      </c>
      <c r="C1686" t="s">
        <v>1340</v>
      </c>
    </row>
    <row r="1687" spans="1:3" x14ac:dyDescent="0.2">
      <c r="A1687" t="s">
        <v>6421</v>
      </c>
      <c r="B1687" t="s">
        <v>1339</v>
      </c>
      <c r="C1687" t="s">
        <v>1343</v>
      </c>
    </row>
    <row r="1688" spans="1:3" x14ac:dyDescent="0.2">
      <c r="A1688" t="s">
        <v>4564</v>
      </c>
      <c r="B1688" t="s">
        <v>1339</v>
      </c>
      <c r="C1688" t="s">
        <v>1343</v>
      </c>
    </row>
    <row r="1689" spans="1:3" x14ac:dyDescent="0.2">
      <c r="A1689" t="s">
        <v>4565</v>
      </c>
      <c r="B1689" t="s">
        <v>1339</v>
      </c>
      <c r="C1689" t="s">
        <v>1343</v>
      </c>
    </row>
    <row r="1690" spans="1:3" x14ac:dyDescent="0.2">
      <c r="A1690" t="s">
        <v>6422</v>
      </c>
      <c r="B1690" t="s">
        <v>1339</v>
      </c>
      <c r="C1690" t="s">
        <v>1343</v>
      </c>
    </row>
    <row r="1691" spans="1:3" x14ac:dyDescent="0.2">
      <c r="A1691" t="s">
        <v>5831</v>
      </c>
      <c r="B1691" t="s">
        <v>1339</v>
      </c>
      <c r="C1691" t="s">
        <v>1343</v>
      </c>
    </row>
    <row r="1692" spans="1:3" x14ac:dyDescent="0.2">
      <c r="A1692" t="s">
        <v>6423</v>
      </c>
      <c r="B1692" t="s">
        <v>1339</v>
      </c>
      <c r="C1692" t="s">
        <v>1343</v>
      </c>
    </row>
    <row r="1693" spans="1:3" x14ac:dyDescent="0.2">
      <c r="A1693" t="s">
        <v>6424</v>
      </c>
      <c r="B1693" t="s">
        <v>1339</v>
      </c>
      <c r="C1693" t="s">
        <v>1343</v>
      </c>
    </row>
    <row r="1694" spans="1:3" x14ac:dyDescent="0.2">
      <c r="A1694" t="s">
        <v>6425</v>
      </c>
      <c r="B1694" t="s">
        <v>1339</v>
      </c>
      <c r="C1694" t="s">
        <v>1343</v>
      </c>
    </row>
    <row r="1695" spans="1:3" x14ac:dyDescent="0.2">
      <c r="A1695" t="s">
        <v>5689</v>
      </c>
      <c r="B1695" t="s">
        <v>1339</v>
      </c>
      <c r="C1695" t="s">
        <v>1340</v>
      </c>
    </row>
    <row r="1696" spans="1:3" x14ac:dyDescent="0.2">
      <c r="A1696" t="s">
        <v>6426</v>
      </c>
      <c r="B1696" t="s">
        <v>1339</v>
      </c>
      <c r="C1696" t="s">
        <v>1343</v>
      </c>
    </row>
    <row r="1697" spans="1:3" x14ac:dyDescent="0.2">
      <c r="A1697" t="s">
        <v>3872</v>
      </c>
      <c r="B1697" t="s">
        <v>1339</v>
      </c>
      <c r="C1697" t="s">
        <v>1343</v>
      </c>
    </row>
    <row r="1698" spans="1:3" x14ac:dyDescent="0.2">
      <c r="A1698" t="s">
        <v>4692</v>
      </c>
      <c r="B1698" t="s">
        <v>1339</v>
      </c>
      <c r="C1698" t="s">
        <v>1343</v>
      </c>
    </row>
    <row r="1699" spans="1:3" x14ac:dyDescent="0.2">
      <c r="A1699" t="s">
        <v>5832</v>
      </c>
      <c r="B1699" t="s">
        <v>1339</v>
      </c>
      <c r="C1699" t="s">
        <v>1343</v>
      </c>
    </row>
    <row r="1700" spans="1:3" x14ac:dyDescent="0.2">
      <c r="A1700" t="s">
        <v>6427</v>
      </c>
      <c r="B1700" t="s">
        <v>1339</v>
      </c>
      <c r="C1700" t="s">
        <v>1343</v>
      </c>
    </row>
    <row r="1701" spans="1:3" x14ac:dyDescent="0.2">
      <c r="A1701" t="s">
        <v>6428</v>
      </c>
      <c r="B1701" t="s">
        <v>1339</v>
      </c>
      <c r="C1701" t="s">
        <v>1343</v>
      </c>
    </row>
    <row r="1702" spans="1:3" x14ac:dyDescent="0.2">
      <c r="A1702" t="s">
        <v>6429</v>
      </c>
      <c r="B1702" t="s">
        <v>1339</v>
      </c>
      <c r="C1702" t="s">
        <v>1343</v>
      </c>
    </row>
    <row r="1703" spans="1:3" x14ac:dyDescent="0.2">
      <c r="A1703" t="s">
        <v>6430</v>
      </c>
      <c r="B1703" t="s">
        <v>1339</v>
      </c>
      <c r="C1703" t="s">
        <v>1343</v>
      </c>
    </row>
    <row r="1704" spans="1:3" x14ac:dyDescent="0.2">
      <c r="A1704" t="s">
        <v>6431</v>
      </c>
      <c r="B1704" t="s">
        <v>1339</v>
      </c>
      <c r="C1704" t="s">
        <v>1343</v>
      </c>
    </row>
    <row r="1705" spans="1:3" x14ac:dyDescent="0.2">
      <c r="A1705" t="s">
        <v>6432</v>
      </c>
      <c r="B1705" t="s">
        <v>1339</v>
      </c>
      <c r="C1705" t="s">
        <v>1343</v>
      </c>
    </row>
    <row r="1706" spans="1:3" x14ac:dyDescent="0.2">
      <c r="A1706" t="s">
        <v>4693</v>
      </c>
      <c r="B1706" t="s">
        <v>1339</v>
      </c>
      <c r="C1706" t="s">
        <v>1343</v>
      </c>
    </row>
    <row r="1707" spans="1:3" x14ac:dyDescent="0.2">
      <c r="A1707" t="s">
        <v>6433</v>
      </c>
      <c r="B1707" t="s">
        <v>1339</v>
      </c>
      <c r="C1707" t="s">
        <v>1343</v>
      </c>
    </row>
    <row r="1708" spans="1:3" x14ac:dyDescent="0.2">
      <c r="A1708" t="s">
        <v>6434</v>
      </c>
      <c r="B1708" t="s">
        <v>1339</v>
      </c>
      <c r="C1708" t="s">
        <v>1343</v>
      </c>
    </row>
    <row r="1709" spans="1:3" x14ac:dyDescent="0.2">
      <c r="A1709" t="s">
        <v>6435</v>
      </c>
      <c r="B1709" t="s">
        <v>1339</v>
      </c>
      <c r="C1709" t="s">
        <v>1343</v>
      </c>
    </row>
    <row r="1710" spans="1:3" x14ac:dyDescent="0.2">
      <c r="A1710" t="s">
        <v>6436</v>
      </c>
      <c r="B1710" t="s">
        <v>1339</v>
      </c>
      <c r="C1710" t="s">
        <v>1343</v>
      </c>
    </row>
    <row r="1711" spans="1:3" x14ac:dyDescent="0.2">
      <c r="A1711" t="s">
        <v>6437</v>
      </c>
      <c r="B1711" t="s">
        <v>1339</v>
      </c>
      <c r="C1711" t="s">
        <v>1343</v>
      </c>
    </row>
    <row r="1712" spans="1:3" x14ac:dyDescent="0.2">
      <c r="A1712" t="s">
        <v>6438</v>
      </c>
      <c r="B1712" t="s">
        <v>1339</v>
      </c>
      <c r="C1712" t="s">
        <v>1343</v>
      </c>
    </row>
    <row r="1713" spans="1:3" x14ac:dyDescent="0.2">
      <c r="A1713" t="s">
        <v>1346</v>
      </c>
      <c r="B1713" t="s">
        <v>1339</v>
      </c>
      <c r="C1713" t="s">
        <v>1343</v>
      </c>
    </row>
    <row r="1714" spans="1:3" x14ac:dyDescent="0.2">
      <c r="A1714" t="s">
        <v>1347</v>
      </c>
      <c r="B1714" t="s">
        <v>1339</v>
      </c>
      <c r="C1714" t="s">
        <v>1343</v>
      </c>
    </row>
    <row r="1715" spans="1:3" x14ac:dyDescent="0.2">
      <c r="A1715" t="s">
        <v>6439</v>
      </c>
      <c r="B1715" t="s">
        <v>1339</v>
      </c>
      <c r="C1715" t="s">
        <v>1343</v>
      </c>
    </row>
    <row r="1716" spans="1:3" x14ac:dyDescent="0.2">
      <c r="A1716" t="s">
        <v>6440</v>
      </c>
      <c r="B1716" t="s">
        <v>1339</v>
      </c>
      <c r="C1716" t="s">
        <v>1343</v>
      </c>
    </row>
    <row r="1717" spans="1:3" x14ac:dyDescent="0.2">
      <c r="A1717" t="s">
        <v>1348</v>
      </c>
      <c r="B1717" t="s">
        <v>1339</v>
      </c>
      <c r="C1717" t="s">
        <v>1343</v>
      </c>
    </row>
    <row r="1718" spans="1:3" x14ac:dyDescent="0.2">
      <c r="A1718" t="s">
        <v>1349</v>
      </c>
      <c r="B1718" t="s">
        <v>1339</v>
      </c>
      <c r="C1718" t="s">
        <v>1343</v>
      </c>
    </row>
    <row r="1719" spans="1:3" x14ac:dyDescent="0.2">
      <c r="A1719" t="s">
        <v>6441</v>
      </c>
      <c r="B1719" t="s">
        <v>1339</v>
      </c>
      <c r="C1719" t="s">
        <v>1343</v>
      </c>
    </row>
    <row r="1720" spans="1:3" x14ac:dyDescent="0.2">
      <c r="A1720" t="s">
        <v>5690</v>
      </c>
      <c r="B1720" t="s">
        <v>1339</v>
      </c>
      <c r="C1720" t="s">
        <v>1340</v>
      </c>
    </row>
    <row r="1721" spans="1:3" x14ac:dyDescent="0.2">
      <c r="A1721" t="s">
        <v>1350</v>
      </c>
      <c r="B1721" t="s">
        <v>1339</v>
      </c>
      <c r="C1721" t="s">
        <v>1343</v>
      </c>
    </row>
    <row r="1722" spans="1:3" x14ac:dyDescent="0.2">
      <c r="A1722" t="s">
        <v>1351</v>
      </c>
      <c r="B1722" t="s">
        <v>1339</v>
      </c>
      <c r="C1722" t="s">
        <v>1343</v>
      </c>
    </row>
    <row r="1723" spans="1:3" x14ac:dyDescent="0.2">
      <c r="A1723" t="s">
        <v>1352</v>
      </c>
      <c r="B1723" t="s">
        <v>1339</v>
      </c>
      <c r="C1723" t="s">
        <v>1343</v>
      </c>
    </row>
    <row r="1724" spans="1:3" x14ac:dyDescent="0.2">
      <c r="A1724" t="s">
        <v>5833</v>
      </c>
      <c r="B1724" t="s">
        <v>1339</v>
      </c>
      <c r="C1724" t="s">
        <v>1343</v>
      </c>
    </row>
    <row r="1725" spans="1:3" x14ac:dyDescent="0.2">
      <c r="A1725" t="s">
        <v>4566</v>
      </c>
      <c r="B1725" t="s">
        <v>1339</v>
      </c>
      <c r="C1725" t="s">
        <v>1343</v>
      </c>
    </row>
    <row r="1726" spans="1:3" x14ac:dyDescent="0.2">
      <c r="A1726" t="s">
        <v>1353</v>
      </c>
      <c r="B1726" t="s">
        <v>1339</v>
      </c>
      <c r="C1726" t="s">
        <v>1343</v>
      </c>
    </row>
    <row r="1727" spans="1:3" x14ac:dyDescent="0.2">
      <c r="A1727" t="s">
        <v>6442</v>
      </c>
      <c r="B1727" t="s">
        <v>1339</v>
      </c>
      <c r="C1727" t="s">
        <v>1343</v>
      </c>
    </row>
    <row r="1728" spans="1:3" x14ac:dyDescent="0.2">
      <c r="A1728" t="s">
        <v>1354</v>
      </c>
      <c r="B1728" t="s">
        <v>1339</v>
      </c>
      <c r="C1728" t="s">
        <v>1343</v>
      </c>
    </row>
    <row r="1729" spans="1:3" x14ac:dyDescent="0.2">
      <c r="A1729" t="s">
        <v>5572</v>
      </c>
      <c r="B1729" t="s">
        <v>1339</v>
      </c>
      <c r="C1729" t="s">
        <v>1343</v>
      </c>
    </row>
    <row r="1730" spans="1:3" x14ac:dyDescent="0.2">
      <c r="A1730" t="s">
        <v>5173</v>
      </c>
      <c r="B1730" t="s">
        <v>1339</v>
      </c>
      <c r="C1730" t="s">
        <v>1343</v>
      </c>
    </row>
    <row r="1731" spans="1:3" x14ac:dyDescent="0.2">
      <c r="A1731" t="s">
        <v>1355</v>
      </c>
      <c r="B1731" t="s">
        <v>1339</v>
      </c>
      <c r="C1731" t="s">
        <v>1343</v>
      </c>
    </row>
    <row r="1732" spans="1:3" x14ac:dyDescent="0.2">
      <c r="A1732" t="s">
        <v>1356</v>
      </c>
      <c r="B1732" t="s">
        <v>1339</v>
      </c>
      <c r="C1732" t="s">
        <v>1343</v>
      </c>
    </row>
    <row r="1733" spans="1:3" x14ac:dyDescent="0.2">
      <c r="A1733" t="s">
        <v>1357</v>
      </c>
      <c r="B1733" t="s">
        <v>1339</v>
      </c>
      <c r="C1733" t="s">
        <v>1343</v>
      </c>
    </row>
    <row r="1734" spans="1:3" x14ac:dyDescent="0.2">
      <c r="A1734" t="s">
        <v>1358</v>
      </c>
      <c r="B1734" t="s">
        <v>1339</v>
      </c>
      <c r="C1734" t="s">
        <v>1343</v>
      </c>
    </row>
    <row r="1735" spans="1:3" x14ac:dyDescent="0.2">
      <c r="A1735" t="s">
        <v>1359</v>
      </c>
      <c r="B1735" t="s">
        <v>1339</v>
      </c>
      <c r="C1735" t="s">
        <v>1343</v>
      </c>
    </row>
    <row r="1736" spans="1:3" x14ac:dyDescent="0.2">
      <c r="A1736" t="s">
        <v>1360</v>
      </c>
      <c r="B1736" t="s">
        <v>1339</v>
      </c>
      <c r="C1736" t="s">
        <v>1343</v>
      </c>
    </row>
    <row r="1737" spans="1:3" x14ac:dyDescent="0.2">
      <c r="A1737" t="s">
        <v>1361</v>
      </c>
      <c r="B1737" t="s">
        <v>1339</v>
      </c>
      <c r="C1737" t="s">
        <v>1343</v>
      </c>
    </row>
    <row r="1738" spans="1:3" x14ac:dyDescent="0.2">
      <c r="A1738" t="s">
        <v>5047</v>
      </c>
      <c r="B1738" t="s">
        <v>1339</v>
      </c>
      <c r="C1738" t="s">
        <v>1343</v>
      </c>
    </row>
    <row r="1739" spans="1:3" x14ac:dyDescent="0.2">
      <c r="A1739" t="s">
        <v>5048</v>
      </c>
      <c r="B1739" t="s">
        <v>1339</v>
      </c>
      <c r="C1739" t="s">
        <v>1343</v>
      </c>
    </row>
    <row r="1740" spans="1:3" x14ac:dyDescent="0.2">
      <c r="A1740" t="s">
        <v>1362</v>
      </c>
      <c r="B1740" t="s">
        <v>1339</v>
      </c>
      <c r="C1740" t="s">
        <v>1343</v>
      </c>
    </row>
    <row r="1741" spans="1:3" x14ac:dyDescent="0.2">
      <c r="A1741" t="s">
        <v>1363</v>
      </c>
      <c r="B1741" t="s">
        <v>1339</v>
      </c>
      <c r="C1741" t="s">
        <v>1343</v>
      </c>
    </row>
    <row r="1742" spans="1:3" x14ac:dyDescent="0.2">
      <c r="A1742" t="s">
        <v>6443</v>
      </c>
      <c r="B1742" t="s">
        <v>1339</v>
      </c>
      <c r="C1742" t="s">
        <v>1343</v>
      </c>
    </row>
    <row r="1743" spans="1:3" x14ac:dyDescent="0.2">
      <c r="A1743" t="s">
        <v>1364</v>
      </c>
      <c r="B1743" t="s">
        <v>1339</v>
      </c>
      <c r="C1743" t="s">
        <v>1343</v>
      </c>
    </row>
    <row r="1744" spans="1:3" x14ac:dyDescent="0.2">
      <c r="A1744" t="s">
        <v>4567</v>
      </c>
      <c r="B1744" t="s">
        <v>1339</v>
      </c>
      <c r="C1744" t="s">
        <v>1343</v>
      </c>
    </row>
    <row r="1745" spans="1:3" x14ac:dyDescent="0.2">
      <c r="A1745" t="s">
        <v>6444</v>
      </c>
      <c r="B1745" t="s">
        <v>1339</v>
      </c>
      <c r="C1745" t="s">
        <v>1343</v>
      </c>
    </row>
    <row r="1746" spans="1:3" x14ac:dyDescent="0.2">
      <c r="A1746" t="s">
        <v>1365</v>
      </c>
      <c r="B1746" t="s">
        <v>1339</v>
      </c>
      <c r="C1746" t="s">
        <v>1343</v>
      </c>
    </row>
    <row r="1747" spans="1:3" x14ac:dyDescent="0.2">
      <c r="A1747" t="s">
        <v>1366</v>
      </c>
      <c r="B1747" t="s">
        <v>1339</v>
      </c>
      <c r="C1747" t="s">
        <v>1343</v>
      </c>
    </row>
    <row r="1748" spans="1:3" x14ac:dyDescent="0.2">
      <c r="A1748" t="s">
        <v>1367</v>
      </c>
      <c r="B1748" t="s">
        <v>1339</v>
      </c>
      <c r="C1748" t="s">
        <v>1343</v>
      </c>
    </row>
    <row r="1749" spans="1:3" x14ac:dyDescent="0.2">
      <c r="A1749" t="s">
        <v>1368</v>
      </c>
      <c r="B1749" t="s">
        <v>1339</v>
      </c>
      <c r="C1749" t="s">
        <v>1343</v>
      </c>
    </row>
    <row r="1750" spans="1:3" x14ac:dyDescent="0.2">
      <c r="A1750" t="s">
        <v>1369</v>
      </c>
      <c r="B1750" t="s">
        <v>1339</v>
      </c>
      <c r="C1750" t="s">
        <v>1343</v>
      </c>
    </row>
    <row r="1751" spans="1:3" x14ac:dyDescent="0.2">
      <c r="A1751" t="s">
        <v>1370</v>
      </c>
      <c r="B1751" t="s">
        <v>1339</v>
      </c>
      <c r="C1751" t="s">
        <v>1343</v>
      </c>
    </row>
    <row r="1752" spans="1:3" x14ac:dyDescent="0.2">
      <c r="A1752" t="s">
        <v>5174</v>
      </c>
      <c r="B1752" t="s">
        <v>1339</v>
      </c>
      <c r="C1752" t="s">
        <v>1343</v>
      </c>
    </row>
    <row r="1753" spans="1:3" x14ac:dyDescent="0.2">
      <c r="A1753" t="s">
        <v>1371</v>
      </c>
      <c r="B1753" t="s">
        <v>1339</v>
      </c>
      <c r="C1753" t="s">
        <v>1343</v>
      </c>
    </row>
    <row r="1754" spans="1:3" x14ac:dyDescent="0.2">
      <c r="A1754" t="s">
        <v>5473</v>
      </c>
      <c r="B1754" t="s">
        <v>1339</v>
      </c>
      <c r="C1754" t="s">
        <v>1343</v>
      </c>
    </row>
    <row r="1755" spans="1:3" x14ac:dyDescent="0.2">
      <c r="A1755" t="s">
        <v>1372</v>
      </c>
      <c r="B1755" t="s">
        <v>1339</v>
      </c>
      <c r="C1755" t="s">
        <v>1343</v>
      </c>
    </row>
    <row r="1756" spans="1:3" x14ac:dyDescent="0.2">
      <c r="A1756" t="s">
        <v>1373</v>
      </c>
      <c r="B1756" t="s">
        <v>1339</v>
      </c>
      <c r="C1756" t="s">
        <v>1343</v>
      </c>
    </row>
    <row r="1757" spans="1:3" x14ac:dyDescent="0.2">
      <c r="A1757" t="s">
        <v>1374</v>
      </c>
      <c r="B1757" t="s">
        <v>1339</v>
      </c>
      <c r="C1757" t="s">
        <v>1343</v>
      </c>
    </row>
    <row r="1758" spans="1:3" x14ac:dyDescent="0.2">
      <c r="A1758" t="s">
        <v>1375</v>
      </c>
      <c r="B1758" t="s">
        <v>1339</v>
      </c>
      <c r="C1758" t="s">
        <v>1343</v>
      </c>
    </row>
    <row r="1759" spans="1:3" x14ac:dyDescent="0.2">
      <c r="A1759" t="s">
        <v>5049</v>
      </c>
      <c r="B1759" t="s">
        <v>1339</v>
      </c>
      <c r="C1759" t="s">
        <v>1343</v>
      </c>
    </row>
    <row r="1760" spans="1:3" x14ac:dyDescent="0.2">
      <c r="A1760" t="s">
        <v>1376</v>
      </c>
      <c r="B1760" t="s">
        <v>1339</v>
      </c>
      <c r="C1760" t="s">
        <v>1343</v>
      </c>
    </row>
    <row r="1761" spans="1:3" x14ac:dyDescent="0.2">
      <c r="A1761" t="s">
        <v>1377</v>
      </c>
      <c r="B1761" t="s">
        <v>1339</v>
      </c>
      <c r="C1761" t="s">
        <v>1343</v>
      </c>
    </row>
    <row r="1762" spans="1:3" x14ac:dyDescent="0.2">
      <c r="A1762" t="s">
        <v>4568</v>
      </c>
      <c r="B1762" t="s">
        <v>1339</v>
      </c>
      <c r="C1762" t="s">
        <v>1343</v>
      </c>
    </row>
    <row r="1763" spans="1:3" x14ac:dyDescent="0.2">
      <c r="A1763" t="s">
        <v>1378</v>
      </c>
      <c r="B1763" t="s">
        <v>1339</v>
      </c>
      <c r="C1763" t="s">
        <v>1343</v>
      </c>
    </row>
    <row r="1764" spans="1:3" x14ac:dyDescent="0.2">
      <c r="A1764" t="s">
        <v>5050</v>
      </c>
      <c r="B1764" t="s">
        <v>1339</v>
      </c>
      <c r="C1764" t="s">
        <v>1343</v>
      </c>
    </row>
    <row r="1765" spans="1:3" x14ac:dyDescent="0.2">
      <c r="A1765" t="s">
        <v>1379</v>
      </c>
      <c r="B1765" t="s">
        <v>1339</v>
      </c>
      <c r="C1765" t="s">
        <v>1343</v>
      </c>
    </row>
    <row r="1766" spans="1:3" x14ac:dyDescent="0.2">
      <c r="A1766" t="s">
        <v>1380</v>
      </c>
      <c r="B1766" t="s">
        <v>1339</v>
      </c>
      <c r="C1766" t="s">
        <v>1343</v>
      </c>
    </row>
    <row r="1767" spans="1:3" x14ac:dyDescent="0.2">
      <c r="A1767" t="s">
        <v>1381</v>
      </c>
      <c r="B1767" t="s">
        <v>1339</v>
      </c>
      <c r="C1767" t="s">
        <v>1343</v>
      </c>
    </row>
    <row r="1768" spans="1:3" x14ac:dyDescent="0.2">
      <c r="A1768" t="s">
        <v>1382</v>
      </c>
      <c r="B1768" t="s">
        <v>1339</v>
      </c>
      <c r="C1768" t="s">
        <v>1343</v>
      </c>
    </row>
    <row r="1769" spans="1:3" x14ac:dyDescent="0.2">
      <c r="A1769" t="s">
        <v>1383</v>
      </c>
      <c r="B1769" t="s">
        <v>1339</v>
      </c>
      <c r="C1769" t="s">
        <v>1343</v>
      </c>
    </row>
    <row r="1770" spans="1:3" x14ac:dyDescent="0.2">
      <c r="A1770" t="s">
        <v>1384</v>
      </c>
      <c r="B1770" t="s">
        <v>1339</v>
      </c>
      <c r="C1770" t="s">
        <v>1343</v>
      </c>
    </row>
    <row r="1771" spans="1:3" x14ac:dyDescent="0.2">
      <c r="A1771" t="s">
        <v>1385</v>
      </c>
      <c r="B1771" t="s">
        <v>1339</v>
      </c>
      <c r="C1771" t="s">
        <v>1343</v>
      </c>
    </row>
    <row r="1772" spans="1:3" x14ac:dyDescent="0.2">
      <c r="A1772" t="s">
        <v>1386</v>
      </c>
      <c r="B1772" t="s">
        <v>1339</v>
      </c>
      <c r="C1772" t="s">
        <v>1343</v>
      </c>
    </row>
    <row r="1773" spans="1:3" x14ac:dyDescent="0.2">
      <c r="A1773" t="s">
        <v>5573</v>
      </c>
      <c r="B1773" t="s">
        <v>1339</v>
      </c>
      <c r="C1773" t="s">
        <v>1343</v>
      </c>
    </row>
    <row r="1774" spans="1:3" x14ac:dyDescent="0.2">
      <c r="A1774" t="s">
        <v>1387</v>
      </c>
      <c r="B1774" t="s">
        <v>1339</v>
      </c>
      <c r="C1774" t="s">
        <v>1343</v>
      </c>
    </row>
    <row r="1775" spans="1:3" x14ac:dyDescent="0.2">
      <c r="A1775" t="s">
        <v>1388</v>
      </c>
      <c r="B1775" t="s">
        <v>1339</v>
      </c>
      <c r="C1775" t="s">
        <v>1343</v>
      </c>
    </row>
    <row r="1776" spans="1:3" x14ac:dyDescent="0.2">
      <c r="A1776" t="s">
        <v>1389</v>
      </c>
      <c r="B1776" t="s">
        <v>1339</v>
      </c>
      <c r="C1776" t="s">
        <v>1343</v>
      </c>
    </row>
    <row r="1777" spans="1:3" x14ac:dyDescent="0.2">
      <c r="A1777" t="s">
        <v>1390</v>
      </c>
      <c r="B1777" t="s">
        <v>1339</v>
      </c>
      <c r="C1777" t="s">
        <v>1343</v>
      </c>
    </row>
    <row r="1778" spans="1:3" x14ac:dyDescent="0.2">
      <c r="A1778" t="s">
        <v>1391</v>
      </c>
      <c r="B1778" t="s">
        <v>1339</v>
      </c>
      <c r="C1778" t="s">
        <v>1343</v>
      </c>
    </row>
    <row r="1779" spans="1:3" x14ac:dyDescent="0.2">
      <c r="A1779" t="s">
        <v>4694</v>
      </c>
      <c r="B1779" t="s">
        <v>1339</v>
      </c>
      <c r="C1779" t="s">
        <v>1343</v>
      </c>
    </row>
    <row r="1780" spans="1:3" x14ac:dyDescent="0.2">
      <c r="A1780" t="s">
        <v>1392</v>
      </c>
      <c r="B1780" t="s">
        <v>1339</v>
      </c>
      <c r="C1780" t="s">
        <v>1343</v>
      </c>
    </row>
    <row r="1781" spans="1:3" x14ac:dyDescent="0.2">
      <c r="A1781" t="s">
        <v>5574</v>
      </c>
      <c r="B1781" t="s">
        <v>1339</v>
      </c>
      <c r="C1781" t="s">
        <v>1343</v>
      </c>
    </row>
    <row r="1782" spans="1:3" x14ac:dyDescent="0.2">
      <c r="A1782" t="s">
        <v>1393</v>
      </c>
      <c r="B1782" t="s">
        <v>1339</v>
      </c>
      <c r="C1782" t="s">
        <v>1343</v>
      </c>
    </row>
    <row r="1783" spans="1:3" x14ac:dyDescent="0.2">
      <c r="A1783" t="s">
        <v>1394</v>
      </c>
      <c r="B1783" t="s">
        <v>1339</v>
      </c>
      <c r="C1783" t="s">
        <v>1343</v>
      </c>
    </row>
    <row r="1784" spans="1:3" x14ac:dyDescent="0.2">
      <c r="A1784" t="s">
        <v>1395</v>
      </c>
      <c r="B1784" t="s">
        <v>1339</v>
      </c>
      <c r="C1784" t="s">
        <v>1343</v>
      </c>
    </row>
    <row r="1785" spans="1:3" x14ac:dyDescent="0.2">
      <c r="A1785" t="s">
        <v>1396</v>
      </c>
      <c r="B1785" t="s">
        <v>1339</v>
      </c>
      <c r="C1785" t="s">
        <v>1343</v>
      </c>
    </row>
    <row r="1786" spans="1:3" x14ac:dyDescent="0.2">
      <c r="A1786" t="s">
        <v>1397</v>
      </c>
      <c r="B1786" t="s">
        <v>1339</v>
      </c>
      <c r="C1786" t="s">
        <v>1343</v>
      </c>
    </row>
    <row r="1787" spans="1:3" x14ac:dyDescent="0.2">
      <c r="A1787" t="s">
        <v>4569</v>
      </c>
      <c r="B1787" t="s">
        <v>1339</v>
      </c>
      <c r="C1787" t="s">
        <v>1343</v>
      </c>
    </row>
    <row r="1788" spans="1:3" x14ac:dyDescent="0.2">
      <c r="A1788" t="s">
        <v>1398</v>
      </c>
      <c r="B1788" t="s">
        <v>1339</v>
      </c>
      <c r="C1788" t="s">
        <v>1343</v>
      </c>
    </row>
    <row r="1789" spans="1:3" x14ac:dyDescent="0.2">
      <c r="A1789" t="s">
        <v>6445</v>
      </c>
      <c r="B1789" t="s">
        <v>1339</v>
      </c>
      <c r="C1789" t="s">
        <v>1343</v>
      </c>
    </row>
    <row r="1790" spans="1:3" x14ac:dyDescent="0.2">
      <c r="A1790" t="s">
        <v>1399</v>
      </c>
      <c r="B1790" t="s">
        <v>1339</v>
      </c>
      <c r="C1790" t="s">
        <v>1343</v>
      </c>
    </row>
    <row r="1791" spans="1:3" x14ac:dyDescent="0.2">
      <c r="A1791" t="s">
        <v>5175</v>
      </c>
      <c r="B1791" t="s">
        <v>1339</v>
      </c>
      <c r="C1791" t="s">
        <v>1343</v>
      </c>
    </row>
    <row r="1792" spans="1:3" x14ac:dyDescent="0.2">
      <c r="A1792" t="s">
        <v>4695</v>
      </c>
      <c r="B1792" t="s">
        <v>1339</v>
      </c>
      <c r="C1792" t="s">
        <v>1343</v>
      </c>
    </row>
    <row r="1793" spans="1:3" x14ac:dyDescent="0.2">
      <c r="A1793" t="s">
        <v>1400</v>
      </c>
      <c r="B1793" t="s">
        <v>1339</v>
      </c>
      <c r="C1793" t="s">
        <v>1343</v>
      </c>
    </row>
    <row r="1794" spans="1:3" x14ac:dyDescent="0.2">
      <c r="A1794" t="s">
        <v>1401</v>
      </c>
      <c r="B1794" t="s">
        <v>1339</v>
      </c>
      <c r="C1794" t="s">
        <v>1343</v>
      </c>
    </row>
    <row r="1795" spans="1:3" x14ac:dyDescent="0.2">
      <c r="A1795" t="s">
        <v>1402</v>
      </c>
      <c r="B1795" t="s">
        <v>1339</v>
      </c>
      <c r="C1795" t="s">
        <v>1343</v>
      </c>
    </row>
    <row r="1796" spans="1:3" x14ac:dyDescent="0.2">
      <c r="A1796" t="s">
        <v>4929</v>
      </c>
      <c r="B1796" t="s">
        <v>1339</v>
      </c>
      <c r="C1796" t="s">
        <v>1343</v>
      </c>
    </row>
    <row r="1797" spans="1:3" x14ac:dyDescent="0.2">
      <c r="A1797" t="s">
        <v>1403</v>
      </c>
      <c r="B1797" t="s">
        <v>1339</v>
      </c>
      <c r="C1797" t="s">
        <v>1343</v>
      </c>
    </row>
    <row r="1798" spans="1:3" x14ac:dyDescent="0.2">
      <c r="A1798" t="s">
        <v>4930</v>
      </c>
      <c r="B1798" t="s">
        <v>1339</v>
      </c>
      <c r="C1798" t="s">
        <v>1343</v>
      </c>
    </row>
    <row r="1799" spans="1:3" x14ac:dyDescent="0.2">
      <c r="A1799" t="s">
        <v>1404</v>
      </c>
      <c r="B1799" t="s">
        <v>1339</v>
      </c>
      <c r="C1799" t="s">
        <v>1343</v>
      </c>
    </row>
    <row r="1800" spans="1:3" x14ac:dyDescent="0.2">
      <c r="A1800" t="s">
        <v>1405</v>
      </c>
      <c r="B1800" t="s">
        <v>1339</v>
      </c>
      <c r="C1800" t="s">
        <v>1343</v>
      </c>
    </row>
    <row r="1801" spans="1:3" x14ac:dyDescent="0.2">
      <c r="A1801" t="s">
        <v>1406</v>
      </c>
      <c r="B1801" t="s">
        <v>1339</v>
      </c>
      <c r="C1801" t="s">
        <v>1343</v>
      </c>
    </row>
    <row r="1802" spans="1:3" x14ac:dyDescent="0.2">
      <c r="A1802" t="s">
        <v>4931</v>
      </c>
      <c r="B1802" t="s">
        <v>1339</v>
      </c>
      <c r="C1802" t="s">
        <v>1343</v>
      </c>
    </row>
    <row r="1803" spans="1:3" x14ac:dyDescent="0.2">
      <c r="A1803" t="s">
        <v>1407</v>
      </c>
      <c r="B1803" t="s">
        <v>1339</v>
      </c>
      <c r="C1803" t="s">
        <v>1343</v>
      </c>
    </row>
    <row r="1804" spans="1:3" x14ac:dyDescent="0.2">
      <c r="A1804" t="s">
        <v>5176</v>
      </c>
      <c r="B1804" t="s">
        <v>1339</v>
      </c>
      <c r="C1804" t="s">
        <v>1343</v>
      </c>
    </row>
    <row r="1805" spans="1:3" x14ac:dyDescent="0.2">
      <c r="A1805" t="s">
        <v>1408</v>
      </c>
      <c r="B1805" t="s">
        <v>1339</v>
      </c>
      <c r="C1805" t="s">
        <v>1343</v>
      </c>
    </row>
    <row r="1806" spans="1:3" x14ac:dyDescent="0.2">
      <c r="A1806" t="s">
        <v>1409</v>
      </c>
      <c r="B1806" t="s">
        <v>1339</v>
      </c>
      <c r="C1806" t="s">
        <v>1343</v>
      </c>
    </row>
    <row r="1807" spans="1:3" x14ac:dyDescent="0.2">
      <c r="A1807" t="s">
        <v>1410</v>
      </c>
      <c r="B1807" t="s">
        <v>1339</v>
      </c>
      <c r="C1807" t="s">
        <v>1343</v>
      </c>
    </row>
    <row r="1808" spans="1:3" x14ac:dyDescent="0.2">
      <c r="A1808" t="s">
        <v>4932</v>
      </c>
      <c r="B1808" t="s">
        <v>1339</v>
      </c>
      <c r="C1808" t="s">
        <v>1343</v>
      </c>
    </row>
    <row r="1809" spans="1:3" x14ac:dyDescent="0.2">
      <c r="A1809" t="s">
        <v>1411</v>
      </c>
      <c r="B1809" t="s">
        <v>1339</v>
      </c>
      <c r="C1809" t="s">
        <v>1343</v>
      </c>
    </row>
    <row r="1810" spans="1:3" x14ac:dyDescent="0.2">
      <c r="A1810" t="s">
        <v>1412</v>
      </c>
      <c r="B1810" t="s">
        <v>1339</v>
      </c>
      <c r="C1810" t="s">
        <v>1343</v>
      </c>
    </row>
    <row r="1811" spans="1:3" x14ac:dyDescent="0.2">
      <c r="A1811" t="s">
        <v>1413</v>
      </c>
      <c r="B1811" t="s">
        <v>1339</v>
      </c>
      <c r="C1811" t="s">
        <v>1343</v>
      </c>
    </row>
    <row r="1812" spans="1:3" x14ac:dyDescent="0.2">
      <c r="A1812" t="s">
        <v>5474</v>
      </c>
      <c r="B1812" t="s">
        <v>1339</v>
      </c>
      <c r="C1812" t="s">
        <v>1343</v>
      </c>
    </row>
    <row r="1813" spans="1:3" x14ac:dyDescent="0.2">
      <c r="A1813" t="s">
        <v>1414</v>
      </c>
      <c r="B1813" t="s">
        <v>1339</v>
      </c>
      <c r="C1813" t="s">
        <v>1343</v>
      </c>
    </row>
    <row r="1814" spans="1:3" x14ac:dyDescent="0.2">
      <c r="A1814" t="s">
        <v>1415</v>
      </c>
      <c r="B1814" t="s">
        <v>1339</v>
      </c>
      <c r="C1814" t="s">
        <v>1343</v>
      </c>
    </row>
    <row r="1815" spans="1:3" x14ac:dyDescent="0.2">
      <c r="A1815" t="s">
        <v>1416</v>
      </c>
      <c r="B1815" t="s">
        <v>1339</v>
      </c>
      <c r="C1815" t="s">
        <v>1343</v>
      </c>
    </row>
    <row r="1816" spans="1:3" x14ac:dyDescent="0.2">
      <c r="A1816" t="s">
        <v>1417</v>
      </c>
      <c r="B1816" t="s">
        <v>1339</v>
      </c>
      <c r="C1816" t="s">
        <v>1343</v>
      </c>
    </row>
    <row r="1817" spans="1:3" x14ac:dyDescent="0.2">
      <c r="A1817" t="s">
        <v>5691</v>
      </c>
      <c r="B1817" t="s">
        <v>1339</v>
      </c>
      <c r="C1817" t="s">
        <v>1340</v>
      </c>
    </row>
    <row r="1818" spans="1:3" x14ac:dyDescent="0.2">
      <c r="A1818" t="s">
        <v>1418</v>
      </c>
      <c r="B1818" t="s">
        <v>1339</v>
      </c>
      <c r="C1818" t="s">
        <v>1343</v>
      </c>
    </row>
    <row r="1819" spans="1:3" x14ac:dyDescent="0.2">
      <c r="A1819" t="s">
        <v>1419</v>
      </c>
      <c r="B1819" t="s">
        <v>1339</v>
      </c>
      <c r="C1819" t="s">
        <v>1343</v>
      </c>
    </row>
    <row r="1820" spans="1:3" x14ac:dyDescent="0.2">
      <c r="A1820" t="s">
        <v>5051</v>
      </c>
      <c r="B1820" t="s">
        <v>1339</v>
      </c>
      <c r="C1820" t="s">
        <v>1343</v>
      </c>
    </row>
    <row r="1821" spans="1:3" x14ac:dyDescent="0.2">
      <c r="A1821" t="s">
        <v>1420</v>
      </c>
      <c r="B1821" t="s">
        <v>1339</v>
      </c>
      <c r="C1821" t="s">
        <v>1343</v>
      </c>
    </row>
    <row r="1822" spans="1:3" x14ac:dyDescent="0.2">
      <c r="A1822" t="s">
        <v>5177</v>
      </c>
      <c r="B1822" t="s">
        <v>1339</v>
      </c>
      <c r="C1822" t="s">
        <v>1343</v>
      </c>
    </row>
    <row r="1823" spans="1:3" x14ac:dyDescent="0.2">
      <c r="A1823" t="s">
        <v>1421</v>
      </c>
      <c r="B1823" t="s">
        <v>1339</v>
      </c>
      <c r="C1823" t="s">
        <v>1343</v>
      </c>
    </row>
    <row r="1824" spans="1:3" x14ac:dyDescent="0.2">
      <c r="A1824" t="s">
        <v>1422</v>
      </c>
      <c r="B1824" t="s">
        <v>1339</v>
      </c>
      <c r="C1824" t="s">
        <v>1343</v>
      </c>
    </row>
    <row r="1825" spans="1:3" x14ac:dyDescent="0.2">
      <c r="A1825" t="s">
        <v>1423</v>
      </c>
      <c r="B1825" t="s">
        <v>1339</v>
      </c>
      <c r="C1825" t="s">
        <v>1343</v>
      </c>
    </row>
    <row r="1826" spans="1:3" x14ac:dyDescent="0.2">
      <c r="A1826" t="s">
        <v>1424</v>
      </c>
      <c r="B1826" t="s">
        <v>1339</v>
      </c>
      <c r="C1826" t="s">
        <v>1343</v>
      </c>
    </row>
    <row r="1827" spans="1:3" x14ac:dyDescent="0.2">
      <c r="A1827" t="s">
        <v>1425</v>
      </c>
      <c r="B1827" t="s">
        <v>1339</v>
      </c>
      <c r="C1827" t="s">
        <v>1343</v>
      </c>
    </row>
    <row r="1828" spans="1:3" x14ac:dyDescent="0.2">
      <c r="A1828" t="s">
        <v>1426</v>
      </c>
      <c r="B1828" t="s">
        <v>1339</v>
      </c>
      <c r="C1828" t="s">
        <v>1343</v>
      </c>
    </row>
    <row r="1829" spans="1:3" x14ac:dyDescent="0.2">
      <c r="A1829" t="s">
        <v>1427</v>
      </c>
      <c r="B1829" t="s">
        <v>1339</v>
      </c>
      <c r="C1829" t="s">
        <v>1343</v>
      </c>
    </row>
    <row r="1830" spans="1:3" x14ac:dyDescent="0.2">
      <c r="A1830" t="s">
        <v>1428</v>
      </c>
      <c r="B1830" t="s">
        <v>1339</v>
      </c>
      <c r="C1830" t="s">
        <v>1343</v>
      </c>
    </row>
    <row r="1831" spans="1:3" x14ac:dyDescent="0.2">
      <c r="A1831" t="s">
        <v>1429</v>
      </c>
      <c r="B1831" t="s">
        <v>1339</v>
      </c>
      <c r="C1831" t="s">
        <v>1343</v>
      </c>
    </row>
    <row r="1832" spans="1:3" x14ac:dyDescent="0.2">
      <c r="A1832" t="s">
        <v>1430</v>
      </c>
      <c r="B1832" t="s">
        <v>1339</v>
      </c>
      <c r="C1832" t="s">
        <v>1343</v>
      </c>
    </row>
    <row r="1833" spans="1:3" x14ac:dyDescent="0.2">
      <c r="A1833" t="s">
        <v>1431</v>
      </c>
      <c r="B1833" t="s">
        <v>1339</v>
      </c>
      <c r="C1833" t="s">
        <v>1343</v>
      </c>
    </row>
    <row r="1834" spans="1:3" x14ac:dyDescent="0.2">
      <c r="A1834" t="s">
        <v>5178</v>
      </c>
      <c r="B1834" t="s">
        <v>1339</v>
      </c>
      <c r="C1834" t="s">
        <v>1343</v>
      </c>
    </row>
    <row r="1835" spans="1:3" x14ac:dyDescent="0.2">
      <c r="A1835" t="s">
        <v>4933</v>
      </c>
      <c r="B1835" t="s">
        <v>1339</v>
      </c>
      <c r="C1835" t="s">
        <v>1343</v>
      </c>
    </row>
    <row r="1836" spans="1:3" x14ac:dyDescent="0.2">
      <c r="A1836" t="s">
        <v>1432</v>
      </c>
      <c r="B1836" t="s">
        <v>1339</v>
      </c>
      <c r="C1836" t="s">
        <v>1343</v>
      </c>
    </row>
    <row r="1837" spans="1:3" x14ac:dyDescent="0.2">
      <c r="A1837" t="s">
        <v>1433</v>
      </c>
      <c r="B1837" t="s">
        <v>1339</v>
      </c>
      <c r="C1837" t="s">
        <v>1343</v>
      </c>
    </row>
    <row r="1838" spans="1:3" x14ac:dyDescent="0.2">
      <c r="A1838" t="s">
        <v>4696</v>
      </c>
      <c r="B1838" t="s">
        <v>1339</v>
      </c>
      <c r="C1838" t="s">
        <v>1343</v>
      </c>
    </row>
    <row r="1839" spans="1:3" x14ac:dyDescent="0.2">
      <c r="A1839" t="s">
        <v>1434</v>
      </c>
      <c r="B1839" t="s">
        <v>1339</v>
      </c>
      <c r="C1839" t="s">
        <v>1343</v>
      </c>
    </row>
    <row r="1840" spans="1:3" x14ac:dyDescent="0.2">
      <c r="A1840" t="s">
        <v>4570</v>
      </c>
      <c r="B1840" t="s">
        <v>1339</v>
      </c>
      <c r="C1840" t="s">
        <v>1343</v>
      </c>
    </row>
    <row r="1841" spans="1:3" x14ac:dyDescent="0.2">
      <c r="A1841" t="s">
        <v>1435</v>
      </c>
      <c r="B1841" t="s">
        <v>1339</v>
      </c>
      <c r="C1841" t="s">
        <v>1343</v>
      </c>
    </row>
    <row r="1842" spans="1:3" x14ac:dyDescent="0.2">
      <c r="A1842" t="s">
        <v>5692</v>
      </c>
      <c r="B1842" t="s">
        <v>1339</v>
      </c>
      <c r="C1842" t="s">
        <v>1340</v>
      </c>
    </row>
    <row r="1843" spans="1:3" x14ac:dyDescent="0.2">
      <c r="A1843" t="s">
        <v>1436</v>
      </c>
      <c r="B1843" t="s">
        <v>1339</v>
      </c>
      <c r="C1843" t="s">
        <v>1343</v>
      </c>
    </row>
    <row r="1844" spans="1:3" x14ac:dyDescent="0.2">
      <c r="A1844" t="s">
        <v>1437</v>
      </c>
      <c r="B1844" t="s">
        <v>1339</v>
      </c>
      <c r="C1844" t="s">
        <v>1343</v>
      </c>
    </row>
    <row r="1845" spans="1:3" x14ac:dyDescent="0.2">
      <c r="A1845" t="s">
        <v>1438</v>
      </c>
      <c r="B1845" t="s">
        <v>1339</v>
      </c>
      <c r="C1845" t="s">
        <v>1343</v>
      </c>
    </row>
    <row r="1846" spans="1:3" x14ac:dyDescent="0.2">
      <c r="A1846" t="s">
        <v>5179</v>
      </c>
      <c r="B1846" t="s">
        <v>1339</v>
      </c>
      <c r="C1846" t="s">
        <v>1343</v>
      </c>
    </row>
    <row r="1847" spans="1:3" x14ac:dyDescent="0.2">
      <c r="A1847" t="s">
        <v>1439</v>
      </c>
      <c r="B1847" t="s">
        <v>1339</v>
      </c>
      <c r="C1847" t="s">
        <v>1343</v>
      </c>
    </row>
    <row r="1848" spans="1:3" x14ac:dyDescent="0.2">
      <c r="A1848" t="s">
        <v>5052</v>
      </c>
      <c r="B1848" t="s">
        <v>1339</v>
      </c>
      <c r="C1848" t="s">
        <v>1343</v>
      </c>
    </row>
    <row r="1849" spans="1:3" x14ac:dyDescent="0.2">
      <c r="A1849" t="s">
        <v>1440</v>
      </c>
      <c r="B1849" t="s">
        <v>1339</v>
      </c>
      <c r="C1849" t="s">
        <v>1343</v>
      </c>
    </row>
    <row r="1850" spans="1:3" x14ac:dyDescent="0.2">
      <c r="A1850" t="s">
        <v>1441</v>
      </c>
      <c r="B1850" t="s">
        <v>1339</v>
      </c>
      <c r="C1850" t="s">
        <v>1343</v>
      </c>
    </row>
    <row r="1851" spans="1:3" x14ac:dyDescent="0.2">
      <c r="A1851" t="s">
        <v>1442</v>
      </c>
      <c r="B1851" t="s">
        <v>1339</v>
      </c>
      <c r="C1851" t="s">
        <v>1343</v>
      </c>
    </row>
    <row r="1852" spans="1:3" x14ac:dyDescent="0.2">
      <c r="A1852" t="s">
        <v>1443</v>
      </c>
      <c r="B1852" t="s">
        <v>1339</v>
      </c>
      <c r="C1852" t="s">
        <v>1343</v>
      </c>
    </row>
    <row r="1853" spans="1:3" x14ac:dyDescent="0.2">
      <c r="A1853" t="s">
        <v>1444</v>
      </c>
      <c r="B1853" t="s">
        <v>1339</v>
      </c>
      <c r="C1853" t="s">
        <v>1343</v>
      </c>
    </row>
    <row r="1854" spans="1:3" x14ac:dyDescent="0.2">
      <c r="A1854" t="s">
        <v>5575</v>
      </c>
      <c r="B1854" t="s">
        <v>1339</v>
      </c>
      <c r="C1854" t="s">
        <v>1343</v>
      </c>
    </row>
    <row r="1855" spans="1:3" x14ac:dyDescent="0.2">
      <c r="A1855" t="s">
        <v>1445</v>
      </c>
      <c r="B1855" t="s">
        <v>1339</v>
      </c>
      <c r="C1855" t="s">
        <v>1343</v>
      </c>
    </row>
    <row r="1856" spans="1:3" x14ac:dyDescent="0.2">
      <c r="A1856" t="s">
        <v>5180</v>
      </c>
      <c r="B1856" t="s">
        <v>1339</v>
      </c>
      <c r="C1856" t="s">
        <v>1343</v>
      </c>
    </row>
    <row r="1857" spans="1:3" x14ac:dyDescent="0.2">
      <c r="A1857" t="s">
        <v>1446</v>
      </c>
      <c r="B1857" t="s">
        <v>1339</v>
      </c>
      <c r="C1857" t="s">
        <v>1343</v>
      </c>
    </row>
    <row r="1858" spans="1:3" x14ac:dyDescent="0.2">
      <c r="A1858" t="s">
        <v>5053</v>
      </c>
      <c r="B1858" t="s">
        <v>1339</v>
      </c>
      <c r="C1858" t="s">
        <v>1343</v>
      </c>
    </row>
    <row r="1859" spans="1:3" x14ac:dyDescent="0.2">
      <c r="A1859" t="s">
        <v>1447</v>
      </c>
      <c r="B1859" t="s">
        <v>1339</v>
      </c>
      <c r="C1859" t="s">
        <v>1343</v>
      </c>
    </row>
    <row r="1860" spans="1:3" x14ac:dyDescent="0.2">
      <c r="A1860" t="s">
        <v>1448</v>
      </c>
      <c r="B1860" t="s">
        <v>1339</v>
      </c>
      <c r="C1860" t="s">
        <v>1343</v>
      </c>
    </row>
    <row r="1861" spans="1:3" x14ac:dyDescent="0.2">
      <c r="A1861" t="s">
        <v>1449</v>
      </c>
      <c r="B1861" t="s">
        <v>1339</v>
      </c>
      <c r="C1861" t="s">
        <v>1343</v>
      </c>
    </row>
    <row r="1862" spans="1:3" x14ac:dyDescent="0.2">
      <c r="A1862" t="s">
        <v>1450</v>
      </c>
      <c r="B1862" t="s">
        <v>1339</v>
      </c>
      <c r="C1862" t="s">
        <v>1343</v>
      </c>
    </row>
    <row r="1863" spans="1:3" x14ac:dyDescent="0.2">
      <c r="A1863" t="s">
        <v>4934</v>
      </c>
      <c r="B1863" t="s">
        <v>1339</v>
      </c>
      <c r="C1863" t="s">
        <v>1343</v>
      </c>
    </row>
    <row r="1864" spans="1:3" x14ac:dyDescent="0.2">
      <c r="A1864" t="s">
        <v>1451</v>
      </c>
      <c r="B1864" t="s">
        <v>1339</v>
      </c>
      <c r="C1864" t="s">
        <v>1343</v>
      </c>
    </row>
    <row r="1865" spans="1:3" x14ac:dyDescent="0.2">
      <c r="A1865" t="s">
        <v>1452</v>
      </c>
      <c r="B1865" t="s">
        <v>1339</v>
      </c>
      <c r="C1865" t="s">
        <v>1343</v>
      </c>
    </row>
    <row r="1866" spans="1:3" x14ac:dyDescent="0.2">
      <c r="A1866" t="s">
        <v>1453</v>
      </c>
      <c r="B1866" t="s">
        <v>1339</v>
      </c>
      <c r="C1866" t="s">
        <v>1343</v>
      </c>
    </row>
    <row r="1867" spans="1:3" x14ac:dyDescent="0.2">
      <c r="A1867" t="s">
        <v>1454</v>
      </c>
      <c r="B1867" t="s">
        <v>1339</v>
      </c>
      <c r="C1867" t="s">
        <v>1343</v>
      </c>
    </row>
    <row r="1868" spans="1:3" x14ac:dyDescent="0.2">
      <c r="A1868" t="s">
        <v>6446</v>
      </c>
      <c r="B1868" t="s">
        <v>1339</v>
      </c>
      <c r="C1868" t="s">
        <v>1343</v>
      </c>
    </row>
    <row r="1869" spans="1:3" x14ac:dyDescent="0.2">
      <c r="A1869" t="s">
        <v>4697</v>
      </c>
      <c r="B1869" t="s">
        <v>1339</v>
      </c>
      <c r="C1869" t="s">
        <v>1343</v>
      </c>
    </row>
    <row r="1870" spans="1:3" x14ac:dyDescent="0.2">
      <c r="A1870" t="s">
        <v>4935</v>
      </c>
      <c r="B1870" t="s">
        <v>1339</v>
      </c>
      <c r="C1870" t="s">
        <v>1343</v>
      </c>
    </row>
    <row r="1871" spans="1:3" x14ac:dyDescent="0.2">
      <c r="A1871" t="s">
        <v>1455</v>
      </c>
      <c r="B1871" t="s">
        <v>1339</v>
      </c>
      <c r="C1871" t="s">
        <v>1343</v>
      </c>
    </row>
    <row r="1872" spans="1:3" x14ac:dyDescent="0.2">
      <c r="A1872" t="s">
        <v>1456</v>
      </c>
      <c r="B1872" t="s">
        <v>1339</v>
      </c>
      <c r="C1872" t="s">
        <v>1343</v>
      </c>
    </row>
    <row r="1873" spans="1:3" x14ac:dyDescent="0.2">
      <c r="A1873" t="s">
        <v>4936</v>
      </c>
      <c r="B1873" t="s">
        <v>1339</v>
      </c>
      <c r="C1873" t="s">
        <v>1343</v>
      </c>
    </row>
    <row r="1874" spans="1:3" x14ac:dyDescent="0.2">
      <c r="A1874" t="s">
        <v>1457</v>
      </c>
      <c r="B1874" t="s">
        <v>1339</v>
      </c>
      <c r="C1874" t="s">
        <v>1343</v>
      </c>
    </row>
    <row r="1875" spans="1:3" x14ac:dyDescent="0.2">
      <c r="A1875" t="s">
        <v>1458</v>
      </c>
      <c r="B1875" t="s">
        <v>1339</v>
      </c>
      <c r="C1875" t="s">
        <v>1343</v>
      </c>
    </row>
    <row r="1876" spans="1:3" x14ac:dyDescent="0.2">
      <c r="A1876" t="s">
        <v>1459</v>
      </c>
      <c r="B1876" t="s">
        <v>1339</v>
      </c>
      <c r="C1876" t="s">
        <v>1343</v>
      </c>
    </row>
    <row r="1877" spans="1:3" x14ac:dyDescent="0.2">
      <c r="A1877" t="s">
        <v>1460</v>
      </c>
      <c r="B1877" t="s">
        <v>1339</v>
      </c>
      <c r="C1877" t="s">
        <v>1343</v>
      </c>
    </row>
    <row r="1878" spans="1:3" x14ac:dyDescent="0.2">
      <c r="A1878" t="s">
        <v>1461</v>
      </c>
      <c r="B1878" t="s">
        <v>1339</v>
      </c>
      <c r="C1878" t="s">
        <v>1343</v>
      </c>
    </row>
    <row r="1879" spans="1:3" x14ac:dyDescent="0.2">
      <c r="A1879" t="s">
        <v>1462</v>
      </c>
      <c r="B1879" t="s">
        <v>1339</v>
      </c>
      <c r="C1879" t="s">
        <v>1343</v>
      </c>
    </row>
    <row r="1880" spans="1:3" x14ac:dyDescent="0.2">
      <c r="A1880" t="s">
        <v>1463</v>
      </c>
      <c r="B1880" t="s">
        <v>1339</v>
      </c>
      <c r="C1880" t="s">
        <v>1343</v>
      </c>
    </row>
    <row r="1881" spans="1:3" x14ac:dyDescent="0.2">
      <c r="A1881" t="s">
        <v>1464</v>
      </c>
      <c r="B1881" t="s">
        <v>1339</v>
      </c>
      <c r="C1881" t="s">
        <v>1343</v>
      </c>
    </row>
    <row r="1882" spans="1:3" x14ac:dyDescent="0.2">
      <c r="A1882" t="s">
        <v>1465</v>
      </c>
      <c r="B1882" t="s">
        <v>1339</v>
      </c>
      <c r="C1882" t="s">
        <v>1343</v>
      </c>
    </row>
    <row r="1883" spans="1:3" x14ac:dyDescent="0.2">
      <c r="A1883" t="s">
        <v>1466</v>
      </c>
      <c r="B1883" t="s">
        <v>1339</v>
      </c>
      <c r="C1883" t="s">
        <v>1343</v>
      </c>
    </row>
    <row r="1884" spans="1:3" x14ac:dyDescent="0.2">
      <c r="A1884" t="s">
        <v>4937</v>
      </c>
      <c r="B1884" t="s">
        <v>1339</v>
      </c>
      <c r="C1884" t="s">
        <v>1343</v>
      </c>
    </row>
    <row r="1885" spans="1:3" x14ac:dyDescent="0.2">
      <c r="A1885" t="s">
        <v>1467</v>
      </c>
      <c r="B1885" t="s">
        <v>1339</v>
      </c>
      <c r="C1885" t="s">
        <v>1343</v>
      </c>
    </row>
    <row r="1886" spans="1:3" x14ac:dyDescent="0.2">
      <c r="A1886" t="s">
        <v>1468</v>
      </c>
      <c r="B1886" t="s">
        <v>1339</v>
      </c>
      <c r="C1886" t="s">
        <v>1343</v>
      </c>
    </row>
    <row r="1887" spans="1:3" x14ac:dyDescent="0.2">
      <c r="A1887" t="s">
        <v>5181</v>
      </c>
      <c r="B1887" t="s">
        <v>1339</v>
      </c>
      <c r="C1887" t="s">
        <v>1343</v>
      </c>
    </row>
    <row r="1888" spans="1:3" x14ac:dyDescent="0.2">
      <c r="A1888" t="s">
        <v>1469</v>
      </c>
      <c r="B1888" t="s">
        <v>1339</v>
      </c>
      <c r="C1888" t="s">
        <v>1343</v>
      </c>
    </row>
    <row r="1889" spans="1:3" x14ac:dyDescent="0.2">
      <c r="A1889" t="s">
        <v>1470</v>
      </c>
      <c r="B1889" t="s">
        <v>1339</v>
      </c>
      <c r="C1889" t="s">
        <v>1343</v>
      </c>
    </row>
    <row r="1890" spans="1:3" x14ac:dyDescent="0.2">
      <c r="A1890" t="s">
        <v>1471</v>
      </c>
      <c r="B1890" t="s">
        <v>1339</v>
      </c>
      <c r="C1890" t="s">
        <v>1343</v>
      </c>
    </row>
    <row r="1891" spans="1:3" x14ac:dyDescent="0.2">
      <c r="A1891" t="s">
        <v>1472</v>
      </c>
      <c r="B1891" t="s">
        <v>1339</v>
      </c>
      <c r="C1891" t="s">
        <v>1343</v>
      </c>
    </row>
    <row r="1892" spans="1:3" x14ac:dyDescent="0.2">
      <c r="A1892" t="s">
        <v>1473</v>
      </c>
      <c r="B1892" t="s">
        <v>1339</v>
      </c>
      <c r="C1892" t="s">
        <v>1343</v>
      </c>
    </row>
    <row r="1893" spans="1:3" x14ac:dyDescent="0.2">
      <c r="A1893" t="s">
        <v>1474</v>
      </c>
      <c r="B1893" t="s">
        <v>1339</v>
      </c>
      <c r="C1893" t="s">
        <v>1343</v>
      </c>
    </row>
    <row r="1894" spans="1:3" x14ac:dyDescent="0.2">
      <c r="A1894" t="s">
        <v>1475</v>
      </c>
      <c r="B1894" t="s">
        <v>1339</v>
      </c>
      <c r="C1894" t="s">
        <v>1343</v>
      </c>
    </row>
    <row r="1895" spans="1:3" x14ac:dyDescent="0.2">
      <c r="A1895" t="s">
        <v>5475</v>
      </c>
      <c r="B1895" t="s">
        <v>1339</v>
      </c>
      <c r="C1895" t="s">
        <v>1343</v>
      </c>
    </row>
    <row r="1896" spans="1:3" x14ac:dyDescent="0.2">
      <c r="A1896" t="s">
        <v>1476</v>
      </c>
      <c r="B1896" t="s">
        <v>1339</v>
      </c>
      <c r="C1896" t="s">
        <v>1343</v>
      </c>
    </row>
    <row r="1897" spans="1:3" x14ac:dyDescent="0.2">
      <c r="A1897" t="s">
        <v>1477</v>
      </c>
      <c r="B1897" t="s">
        <v>1339</v>
      </c>
      <c r="C1897" t="s">
        <v>1343</v>
      </c>
    </row>
    <row r="1898" spans="1:3" x14ac:dyDescent="0.2">
      <c r="A1898" t="s">
        <v>1478</v>
      </c>
      <c r="B1898" t="s">
        <v>1339</v>
      </c>
      <c r="C1898" t="s">
        <v>1343</v>
      </c>
    </row>
    <row r="1899" spans="1:3" x14ac:dyDescent="0.2">
      <c r="A1899" t="s">
        <v>1479</v>
      </c>
      <c r="B1899" t="s">
        <v>1339</v>
      </c>
      <c r="C1899" t="s">
        <v>1343</v>
      </c>
    </row>
    <row r="1900" spans="1:3" x14ac:dyDescent="0.2">
      <c r="A1900" t="s">
        <v>4938</v>
      </c>
      <c r="B1900" t="s">
        <v>1339</v>
      </c>
      <c r="C1900" t="s">
        <v>1343</v>
      </c>
    </row>
    <row r="1901" spans="1:3" x14ac:dyDescent="0.2">
      <c r="A1901" t="s">
        <v>1480</v>
      </c>
      <c r="B1901" t="s">
        <v>1339</v>
      </c>
      <c r="C1901" t="s">
        <v>1343</v>
      </c>
    </row>
    <row r="1902" spans="1:3" x14ac:dyDescent="0.2">
      <c r="A1902" t="s">
        <v>1481</v>
      </c>
      <c r="B1902" t="s">
        <v>1339</v>
      </c>
      <c r="C1902" t="s">
        <v>1343</v>
      </c>
    </row>
    <row r="1903" spans="1:3" x14ac:dyDescent="0.2">
      <c r="A1903" t="s">
        <v>1482</v>
      </c>
      <c r="B1903" t="s">
        <v>1339</v>
      </c>
      <c r="C1903" t="s">
        <v>1343</v>
      </c>
    </row>
    <row r="1904" spans="1:3" x14ac:dyDescent="0.2">
      <c r="A1904" t="s">
        <v>5054</v>
      </c>
      <c r="B1904" t="s">
        <v>1339</v>
      </c>
      <c r="C1904" t="s">
        <v>1343</v>
      </c>
    </row>
    <row r="1905" spans="1:3" x14ac:dyDescent="0.2">
      <c r="A1905" t="s">
        <v>5834</v>
      </c>
      <c r="B1905" t="s">
        <v>1339</v>
      </c>
      <c r="C1905" t="s">
        <v>1343</v>
      </c>
    </row>
    <row r="1906" spans="1:3" x14ac:dyDescent="0.2">
      <c r="A1906" t="s">
        <v>5476</v>
      </c>
      <c r="B1906" t="s">
        <v>1339</v>
      </c>
      <c r="C1906" t="s">
        <v>1343</v>
      </c>
    </row>
    <row r="1907" spans="1:3" x14ac:dyDescent="0.2">
      <c r="A1907" t="s">
        <v>1483</v>
      </c>
      <c r="B1907" t="s">
        <v>1339</v>
      </c>
      <c r="C1907" t="s">
        <v>1343</v>
      </c>
    </row>
    <row r="1908" spans="1:3" x14ac:dyDescent="0.2">
      <c r="A1908" t="s">
        <v>6447</v>
      </c>
      <c r="B1908" t="s">
        <v>1339</v>
      </c>
      <c r="C1908" t="s">
        <v>1343</v>
      </c>
    </row>
    <row r="1909" spans="1:3" x14ac:dyDescent="0.2">
      <c r="A1909" t="s">
        <v>1484</v>
      </c>
      <c r="B1909" t="s">
        <v>1339</v>
      </c>
      <c r="C1909" t="s">
        <v>1343</v>
      </c>
    </row>
    <row r="1910" spans="1:3" x14ac:dyDescent="0.2">
      <c r="A1910" t="s">
        <v>1485</v>
      </c>
      <c r="B1910" t="s">
        <v>1339</v>
      </c>
      <c r="C1910" t="s">
        <v>1343</v>
      </c>
    </row>
    <row r="1911" spans="1:3" x14ac:dyDescent="0.2">
      <c r="A1911" t="s">
        <v>1486</v>
      </c>
      <c r="B1911" t="s">
        <v>1339</v>
      </c>
      <c r="C1911" t="s">
        <v>1343</v>
      </c>
    </row>
    <row r="1912" spans="1:3" x14ac:dyDescent="0.2">
      <c r="A1912" t="s">
        <v>1487</v>
      </c>
      <c r="B1912" t="s">
        <v>1339</v>
      </c>
      <c r="C1912" t="s">
        <v>1343</v>
      </c>
    </row>
    <row r="1913" spans="1:3" x14ac:dyDescent="0.2">
      <c r="A1913" t="s">
        <v>1488</v>
      </c>
      <c r="B1913" t="s">
        <v>1339</v>
      </c>
      <c r="C1913" t="s">
        <v>1343</v>
      </c>
    </row>
    <row r="1914" spans="1:3" x14ac:dyDescent="0.2">
      <c r="A1914" t="s">
        <v>1489</v>
      </c>
      <c r="B1914" t="s">
        <v>1339</v>
      </c>
      <c r="C1914" t="s">
        <v>1343</v>
      </c>
    </row>
    <row r="1915" spans="1:3" x14ac:dyDescent="0.2">
      <c r="A1915" t="s">
        <v>6448</v>
      </c>
      <c r="B1915" t="s">
        <v>1339</v>
      </c>
      <c r="C1915" t="s">
        <v>1343</v>
      </c>
    </row>
    <row r="1916" spans="1:3" x14ac:dyDescent="0.2">
      <c r="A1916" t="s">
        <v>1490</v>
      </c>
      <c r="B1916" t="s">
        <v>1339</v>
      </c>
      <c r="C1916" t="s">
        <v>1343</v>
      </c>
    </row>
    <row r="1917" spans="1:3" x14ac:dyDescent="0.2">
      <c r="A1917" t="s">
        <v>1491</v>
      </c>
      <c r="B1917" t="s">
        <v>1339</v>
      </c>
      <c r="C1917" t="s">
        <v>1343</v>
      </c>
    </row>
    <row r="1918" spans="1:3" x14ac:dyDescent="0.2">
      <c r="A1918" t="s">
        <v>5182</v>
      </c>
      <c r="B1918" t="s">
        <v>1339</v>
      </c>
      <c r="C1918" t="s">
        <v>1343</v>
      </c>
    </row>
    <row r="1919" spans="1:3" x14ac:dyDescent="0.2">
      <c r="A1919" t="s">
        <v>1492</v>
      </c>
      <c r="B1919" t="s">
        <v>1339</v>
      </c>
      <c r="C1919" t="s">
        <v>1343</v>
      </c>
    </row>
    <row r="1920" spans="1:3" x14ac:dyDescent="0.2">
      <c r="A1920" t="s">
        <v>1493</v>
      </c>
      <c r="B1920" t="s">
        <v>1339</v>
      </c>
      <c r="C1920" t="s">
        <v>1343</v>
      </c>
    </row>
    <row r="1921" spans="1:3" x14ac:dyDescent="0.2">
      <c r="A1921" t="s">
        <v>1494</v>
      </c>
      <c r="B1921" t="s">
        <v>1339</v>
      </c>
      <c r="C1921" t="s">
        <v>1343</v>
      </c>
    </row>
    <row r="1922" spans="1:3" x14ac:dyDescent="0.2">
      <c r="A1922" t="s">
        <v>1495</v>
      </c>
      <c r="B1922" t="s">
        <v>1339</v>
      </c>
      <c r="C1922" t="s">
        <v>1343</v>
      </c>
    </row>
    <row r="1923" spans="1:3" x14ac:dyDescent="0.2">
      <c r="A1923" t="s">
        <v>1496</v>
      </c>
      <c r="B1923" t="s">
        <v>1339</v>
      </c>
      <c r="C1923" t="s">
        <v>1343</v>
      </c>
    </row>
    <row r="1924" spans="1:3" x14ac:dyDescent="0.2">
      <c r="A1924" t="s">
        <v>1497</v>
      </c>
      <c r="B1924" t="s">
        <v>1339</v>
      </c>
      <c r="C1924" t="s">
        <v>1343</v>
      </c>
    </row>
    <row r="1925" spans="1:3" x14ac:dyDescent="0.2">
      <c r="A1925" t="s">
        <v>1498</v>
      </c>
      <c r="B1925" t="s">
        <v>1339</v>
      </c>
      <c r="C1925" t="s">
        <v>1343</v>
      </c>
    </row>
    <row r="1926" spans="1:3" x14ac:dyDescent="0.2">
      <c r="A1926" t="s">
        <v>1499</v>
      </c>
      <c r="B1926" t="s">
        <v>1339</v>
      </c>
      <c r="C1926" t="s">
        <v>1343</v>
      </c>
    </row>
    <row r="1927" spans="1:3" x14ac:dyDescent="0.2">
      <c r="A1927" t="s">
        <v>1500</v>
      </c>
      <c r="B1927" t="s">
        <v>1339</v>
      </c>
      <c r="C1927" t="s">
        <v>1343</v>
      </c>
    </row>
    <row r="1928" spans="1:3" x14ac:dyDescent="0.2">
      <c r="A1928" t="s">
        <v>5477</v>
      </c>
      <c r="B1928" t="s">
        <v>1339</v>
      </c>
      <c r="C1928" t="s">
        <v>1343</v>
      </c>
    </row>
    <row r="1929" spans="1:3" x14ac:dyDescent="0.2">
      <c r="A1929" t="s">
        <v>5478</v>
      </c>
      <c r="B1929" t="s">
        <v>1339</v>
      </c>
      <c r="C1929" t="s">
        <v>1343</v>
      </c>
    </row>
    <row r="1930" spans="1:3" x14ac:dyDescent="0.2">
      <c r="A1930" t="s">
        <v>5183</v>
      </c>
      <c r="B1930" t="s">
        <v>1339</v>
      </c>
      <c r="C1930" t="s">
        <v>1343</v>
      </c>
    </row>
    <row r="1931" spans="1:3" x14ac:dyDescent="0.2">
      <c r="A1931" t="s">
        <v>1501</v>
      </c>
      <c r="B1931" t="s">
        <v>1339</v>
      </c>
      <c r="C1931" t="s">
        <v>1343</v>
      </c>
    </row>
    <row r="1932" spans="1:3" x14ac:dyDescent="0.2">
      <c r="A1932" t="s">
        <v>6449</v>
      </c>
      <c r="B1932" t="s">
        <v>1339</v>
      </c>
      <c r="C1932" t="s">
        <v>1343</v>
      </c>
    </row>
    <row r="1933" spans="1:3" x14ac:dyDescent="0.2">
      <c r="A1933" t="s">
        <v>6450</v>
      </c>
      <c r="B1933" t="s">
        <v>1339</v>
      </c>
      <c r="C1933" t="s">
        <v>1343</v>
      </c>
    </row>
    <row r="1934" spans="1:3" x14ac:dyDescent="0.2">
      <c r="A1934" t="s">
        <v>1502</v>
      </c>
      <c r="B1934" t="s">
        <v>1339</v>
      </c>
      <c r="C1934" t="s">
        <v>1343</v>
      </c>
    </row>
    <row r="1935" spans="1:3" x14ac:dyDescent="0.2">
      <c r="A1935" t="s">
        <v>6451</v>
      </c>
      <c r="B1935" t="s">
        <v>1339</v>
      </c>
      <c r="C1935" t="s">
        <v>1343</v>
      </c>
    </row>
    <row r="1936" spans="1:3" x14ac:dyDescent="0.2">
      <c r="A1936" t="s">
        <v>1503</v>
      </c>
      <c r="B1936" t="s">
        <v>1339</v>
      </c>
      <c r="C1936" t="s">
        <v>1343</v>
      </c>
    </row>
    <row r="1937" spans="1:3" x14ac:dyDescent="0.2">
      <c r="A1937" t="s">
        <v>1504</v>
      </c>
      <c r="B1937" t="s">
        <v>1339</v>
      </c>
      <c r="C1937" t="s">
        <v>1343</v>
      </c>
    </row>
    <row r="1938" spans="1:3" x14ac:dyDescent="0.2">
      <c r="A1938" t="s">
        <v>1505</v>
      </c>
      <c r="B1938" t="s">
        <v>1339</v>
      </c>
      <c r="C1938" t="s">
        <v>1343</v>
      </c>
    </row>
    <row r="1939" spans="1:3" x14ac:dyDescent="0.2">
      <c r="A1939" t="s">
        <v>5835</v>
      </c>
      <c r="B1939" t="s">
        <v>1339</v>
      </c>
      <c r="C1939" t="s">
        <v>1343</v>
      </c>
    </row>
    <row r="1940" spans="1:3" x14ac:dyDescent="0.2">
      <c r="A1940" t="s">
        <v>1506</v>
      </c>
      <c r="B1940" t="s">
        <v>1339</v>
      </c>
      <c r="C1940" t="s">
        <v>1343</v>
      </c>
    </row>
    <row r="1941" spans="1:3" x14ac:dyDescent="0.2">
      <c r="A1941" t="s">
        <v>1507</v>
      </c>
      <c r="B1941" t="s">
        <v>1339</v>
      </c>
      <c r="C1941" t="s">
        <v>1343</v>
      </c>
    </row>
    <row r="1942" spans="1:3" x14ac:dyDescent="0.2">
      <c r="A1942" t="s">
        <v>6452</v>
      </c>
      <c r="B1942" t="s">
        <v>1339</v>
      </c>
      <c r="C1942" t="s">
        <v>1343</v>
      </c>
    </row>
    <row r="1943" spans="1:3" x14ac:dyDescent="0.2">
      <c r="A1943" t="s">
        <v>1508</v>
      </c>
      <c r="B1943" t="s">
        <v>1339</v>
      </c>
      <c r="C1943" t="s">
        <v>1343</v>
      </c>
    </row>
    <row r="1944" spans="1:3" x14ac:dyDescent="0.2">
      <c r="A1944" t="s">
        <v>5693</v>
      </c>
      <c r="B1944" t="s">
        <v>1339</v>
      </c>
      <c r="C1944" t="s">
        <v>1340</v>
      </c>
    </row>
    <row r="1945" spans="1:3" x14ac:dyDescent="0.2">
      <c r="A1945" t="s">
        <v>1509</v>
      </c>
      <c r="B1945" t="s">
        <v>1339</v>
      </c>
      <c r="C1945" t="s">
        <v>1343</v>
      </c>
    </row>
    <row r="1946" spans="1:3" x14ac:dyDescent="0.2">
      <c r="A1946" t="s">
        <v>4939</v>
      </c>
      <c r="B1946" t="s">
        <v>1339</v>
      </c>
      <c r="C1946" t="s">
        <v>1343</v>
      </c>
    </row>
    <row r="1947" spans="1:3" x14ac:dyDescent="0.2">
      <c r="A1947" t="s">
        <v>6453</v>
      </c>
      <c r="B1947" t="s">
        <v>1339</v>
      </c>
      <c r="C1947" t="s">
        <v>1343</v>
      </c>
    </row>
    <row r="1948" spans="1:3" x14ac:dyDescent="0.2">
      <c r="A1948" t="s">
        <v>5479</v>
      </c>
      <c r="B1948" t="s">
        <v>1339</v>
      </c>
      <c r="C1948" t="s">
        <v>1343</v>
      </c>
    </row>
    <row r="1949" spans="1:3" x14ac:dyDescent="0.2">
      <c r="A1949" t="s">
        <v>1510</v>
      </c>
      <c r="B1949" t="s">
        <v>1339</v>
      </c>
      <c r="C1949" t="s">
        <v>1343</v>
      </c>
    </row>
    <row r="1950" spans="1:3" x14ac:dyDescent="0.2">
      <c r="A1950" t="s">
        <v>1511</v>
      </c>
      <c r="B1950" t="s">
        <v>1339</v>
      </c>
      <c r="C1950" t="s">
        <v>1343</v>
      </c>
    </row>
    <row r="1951" spans="1:3" x14ac:dyDescent="0.2">
      <c r="A1951" t="s">
        <v>5184</v>
      </c>
      <c r="B1951" t="s">
        <v>1339</v>
      </c>
      <c r="C1951" t="s">
        <v>1343</v>
      </c>
    </row>
    <row r="1952" spans="1:3" x14ac:dyDescent="0.2">
      <c r="A1952" t="s">
        <v>1512</v>
      </c>
      <c r="B1952" t="s">
        <v>1339</v>
      </c>
      <c r="C1952" t="s">
        <v>1343</v>
      </c>
    </row>
    <row r="1953" spans="1:3" x14ac:dyDescent="0.2">
      <c r="A1953" t="s">
        <v>5055</v>
      </c>
      <c r="B1953" t="s">
        <v>1339</v>
      </c>
      <c r="C1953" t="s">
        <v>1343</v>
      </c>
    </row>
    <row r="1954" spans="1:3" x14ac:dyDescent="0.2">
      <c r="A1954" t="s">
        <v>5480</v>
      </c>
      <c r="B1954" t="s">
        <v>1339</v>
      </c>
      <c r="C1954" t="s">
        <v>1343</v>
      </c>
    </row>
    <row r="1955" spans="1:3" x14ac:dyDescent="0.2">
      <c r="A1955" t="s">
        <v>1513</v>
      </c>
      <c r="B1955" t="s">
        <v>1339</v>
      </c>
      <c r="C1955" t="s">
        <v>1343</v>
      </c>
    </row>
    <row r="1956" spans="1:3" x14ac:dyDescent="0.2">
      <c r="A1956" t="s">
        <v>1514</v>
      </c>
      <c r="B1956" t="s">
        <v>1339</v>
      </c>
      <c r="C1956" t="s">
        <v>1343</v>
      </c>
    </row>
    <row r="1957" spans="1:3" x14ac:dyDescent="0.2">
      <c r="A1957" t="s">
        <v>1515</v>
      </c>
      <c r="B1957" t="s">
        <v>1339</v>
      </c>
      <c r="C1957" t="s">
        <v>1343</v>
      </c>
    </row>
    <row r="1958" spans="1:3" x14ac:dyDescent="0.2">
      <c r="A1958" t="s">
        <v>1516</v>
      </c>
      <c r="B1958" t="s">
        <v>1339</v>
      </c>
      <c r="C1958" t="s">
        <v>1343</v>
      </c>
    </row>
    <row r="1959" spans="1:3" x14ac:dyDescent="0.2">
      <c r="A1959" t="s">
        <v>5185</v>
      </c>
      <c r="B1959" t="s">
        <v>1339</v>
      </c>
      <c r="C1959" t="s">
        <v>1343</v>
      </c>
    </row>
    <row r="1960" spans="1:3" x14ac:dyDescent="0.2">
      <c r="A1960" t="s">
        <v>5056</v>
      </c>
      <c r="B1960" t="s">
        <v>1339</v>
      </c>
      <c r="C1960" t="s">
        <v>1343</v>
      </c>
    </row>
    <row r="1961" spans="1:3" x14ac:dyDescent="0.2">
      <c r="A1961" t="s">
        <v>1517</v>
      </c>
      <c r="B1961" t="s">
        <v>1339</v>
      </c>
      <c r="C1961" t="s">
        <v>1343</v>
      </c>
    </row>
    <row r="1962" spans="1:3" x14ac:dyDescent="0.2">
      <c r="A1962" t="s">
        <v>1518</v>
      </c>
      <c r="B1962" t="s">
        <v>1339</v>
      </c>
      <c r="C1962" t="s">
        <v>1343</v>
      </c>
    </row>
    <row r="1963" spans="1:3" x14ac:dyDescent="0.2">
      <c r="A1963" t="s">
        <v>1519</v>
      </c>
      <c r="B1963" t="s">
        <v>1339</v>
      </c>
      <c r="C1963" t="s">
        <v>1343</v>
      </c>
    </row>
    <row r="1964" spans="1:3" x14ac:dyDescent="0.2">
      <c r="A1964" t="s">
        <v>4571</v>
      </c>
      <c r="B1964" t="s">
        <v>1339</v>
      </c>
      <c r="C1964" t="s">
        <v>1343</v>
      </c>
    </row>
    <row r="1965" spans="1:3" x14ac:dyDescent="0.2">
      <c r="A1965" t="s">
        <v>1520</v>
      </c>
      <c r="B1965" t="s">
        <v>1339</v>
      </c>
      <c r="C1965" t="s">
        <v>1343</v>
      </c>
    </row>
    <row r="1966" spans="1:3" x14ac:dyDescent="0.2">
      <c r="A1966" t="s">
        <v>5186</v>
      </c>
      <c r="B1966" t="s">
        <v>1339</v>
      </c>
      <c r="C1966" t="s">
        <v>1343</v>
      </c>
    </row>
    <row r="1967" spans="1:3" x14ac:dyDescent="0.2">
      <c r="A1967" t="s">
        <v>1521</v>
      </c>
      <c r="B1967" t="s">
        <v>1339</v>
      </c>
      <c r="C1967" t="s">
        <v>1343</v>
      </c>
    </row>
    <row r="1968" spans="1:3" x14ac:dyDescent="0.2">
      <c r="A1968" t="s">
        <v>1522</v>
      </c>
      <c r="B1968" t="s">
        <v>1339</v>
      </c>
      <c r="C1968" t="s">
        <v>1343</v>
      </c>
    </row>
    <row r="1969" spans="1:3" x14ac:dyDescent="0.2">
      <c r="A1969" t="s">
        <v>1523</v>
      </c>
      <c r="B1969" t="s">
        <v>1339</v>
      </c>
      <c r="C1969" t="s">
        <v>1343</v>
      </c>
    </row>
    <row r="1970" spans="1:3" x14ac:dyDescent="0.2">
      <c r="A1970" t="s">
        <v>1524</v>
      </c>
      <c r="B1970" t="s">
        <v>1339</v>
      </c>
      <c r="C1970" t="s">
        <v>1343</v>
      </c>
    </row>
    <row r="1971" spans="1:3" x14ac:dyDescent="0.2">
      <c r="A1971" t="s">
        <v>1525</v>
      </c>
      <c r="B1971" t="s">
        <v>1339</v>
      </c>
      <c r="C1971" t="s">
        <v>1343</v>
      </c>
    </row>
    <row r="1972" spans="1:3" x14ac:dyDescent="0.2">
      <c r="A1972" t="s">
        <v>1526</v>
      </c>
      <c r="B1972" t="s">
        <v>1339</v>
      </c>
      <c r="C1972" t="s">
        <v>1343</v>
      </c>
    </row>
    <row r="1973" spans="1:3" x14ac:dyDescent="0.2">
      <c r="A1973" t="s">
        <v>4698</v>
      </c>
      <c r="B1973" t="s">
        <v>1339</v>
      </c>
      <c r="C1973" t="s">
        <v>1343</v>
      </c>
    </row>
    <row r="1974" spans="1:3" x14ac:dyDescent="0.2">
      <c r="A1974" t="s">
        <v>6454</v>
      </c>
      <c r="B1974" t="s">
        <v>1339</v>
      </c>
      <c r="C1974" t="s">
        <v>1343</v>
      </c>
    </row>
    <row r="1975" spans="1:3" x14ac:dyDescent="0.2">
      <c r="A1975" t="s">
        <v>1527</v>
      </c>
      <c r="B1975" t="s">
        <v>1339</v>
      </c>
      <c r="C1975" t="s">
        <v>1343</v>
      </c>
    </row>
    <row r="1976" spans="1:3" x14ac:dyDescent="0.2">
      <c r="A1976" t="s">
        <v>6455</v>
      </c>
      <c r="B1976" t="s">
        <v>1339</v>
      </c>
      <c r="C1976" t="s">
        <v>1343</v>
      </c>
    </row>
    <row r="1977" spans="1:3" x14ac:dyDescent="0.2">
      <c r="A1977" t="s">
        <v>5187</v>
      </c>
      <c r="B1977" t="s">
        <v>1339</v>
      </c>
      <c r="C1977" t="s">
        <v>1343</v>
      </c>
    </row>
    <row r="1978" spans="1:3" x14ac:dyDescent="0.2">
      <c r="A1978" t="s">
        <v>1528</v>
      </c>
      <c r="B1978" t="s">
        <v>1339</v>
      </c>
      <c r="C1978" t="s">
        <v>1343</v>
      </c>
    </row>
    <row r="1979" spans="1:3" x14ac:dyDescent="0.2">
      <c r="A1979" t="s">
        <v>1529</v>
      </c>
      <c r="B1979" t="s">
        <v>1339</v>
      </c>
      <c r="C1979" t="s">
        <v>1343</v>
      </c>
    </row>
    <row r="1980" spans="1:3" x14ac:dyDescent="0.2">
      <c r="A1980" t="s">
        <v>1530</v>
      </c>
      <c r="B1980" t="s">
        <v>1339</v>
      </c>
      <c r="C1980" t="s">
        <v>1343</v>
      </c>
    </row>
    <row r="1981" spans="1:3" x14ac:dyDescent="0.2">
      <c r="A1981" t="s">
        <v>1531</v>
      </c>
      <c r="B1981" t="s">
        <v>1339</v>
      </c>
      <c r="C1981" t="s">
        <v>1343</v>
      </c>
    </row>
    <row r="1982" spans="1:3" x14ac:dyDescent="0.2">
      <c r="A1982" t="s">
        <v>5481</v>
      </c>
      <c r="B1982" t="s">
        <v>1339</v>
      </c>
      <c r="C1982" t="s">
        <v>1343</v>
      </c>
    </row>
    <row r="1983" spans="1:3" x14ac:dyDescent="0.2">
      <c r="A1983" t="s">
        <v>1532</v>
      </c>
      <c r="B1983" t="s">
        <v>1339</v>
      </c>
      <c r="C1983" t="s">
        <v>1343</v>
      </c>
    </row>
    <row r="1984" spans="1:3" x14ac:dyDescent="0.2">
      <c r="A1984" t="s">
        <v>1533</v>
      </c>
      <c r="B1984" t="s">
        <v>1339</v>
      </c>
      <c r="C1984" t="s">
        <v>1343</v>
      </c>
    </row>
    <row r="1985" spans="1:3" x14ac:dyDescent="0.2">
      <c r="A1985" t="s">
        <v>1534</v>
      </c>
      <c r="B1985" t="s">
        <v>1339</v>
      </c>
      <c r="C1985" t="s">
        <v>1343</v>
      </c>
    </row>
    <row r="1986" spans="1:3" x14ac:dyDescent="0.2">
      <c r="A1986" t="s">
        <v>1535</v>
      </c>
      <c r="B1986" t="s">
        <v>1339</v>
      </c>
      <c r="C1986" t="s">
        <v>1343</v>
      </c>
    </row>
    <row r="1987" spans="1:3" x14ac:dyDescent="0.2">
      <c r="A1987" t="s">
        <v>4699</v>
      </c>
      <c r="B1987" t="s">
        <v>1339</v>
      </c>
      <c r="C1987" t="s">
        <v>1343</v>
      </c>
    </row>
    <row r="1988" spans="1:3" x14ac:dyDescent="0.2">
      <c r="A1988" t="s">
        <v>1536</v>
      </c>
      <c r="B1988" t="s">
        <v>1339</v>
      </c>
      <c r="C1988" t="s">
        <v>1343</v>
      </c>
    </row>
    <row r="1989" spans="1:3" x14ac:dyDescent="0.2">
      <c r="A1989" t="s">
        <v>1537</v>
      </c>
      <c r="B1989" t="s">
        <v>1339</v>
      </c>
      <c r="C1989" t="s">
        <v>1343</v>
      </c>
    </row>
    <row r="1990" spans="1:3" x14ac:dyDescent="0.2">
      <c r="A1990" t="s">
        <v>1538</v>
      </c>
      <c r="B1990" t="s">
        <v>1339</v>
      </c>
      <c r="C1990" t="s">
        <v>1343</v>
      </c>
    </row>
    <row r="1991" spans="1:3" x14ac:dyDescent="0.2">
      <c r="A1991" t="s">
        <v>5482</v>
      </c>
      <c r="B1991" t="s">
        <v>1339</v>
      </c>
      <c r="C1991" t="s">
        <v>1343</v>
      </c>
    </row>
    <row r="1992" spans="1:3" x14ac:dyDescent="0.2">
      <c r="A1992" t="s">
        <v>5576</v>
      </c>
      <c r="B1992" t="s">
        <v>1339</v>
      </c>
      <c r="C1992" t="s">
        <v>1343</v>
      </c>
    </row>
    <row r="1993" spans="1:3" x14ac:dyDescent="0.2">
      <c r="A1993" t="s">
        <v>5188</v>
      </c>
      <c r="B1993" t="s">
        <v>1339</v>
      </c>
      <c r="C1993" t="s">
        <v>1343</v>
      </c>
    </row>
    <row r="1994" spans="1:3" x14ac:dyDescent="0.2">
      <c r="A1994" t="s">
        <v>5483</v>
      </c>
      <c r="B1994" t="s">
        <v>1339</v>
      </c>
      <c r="C1994" t="s">
        <v>1343</v>
      </c>
    </row>
    <row r="1995" spans="1:3" x14ac:dyDescent="0.2">
      <c r="A1995" t="s">
        <v>1539</v>
      </c>
      <c r="B1995" t="s">
        <v>1339</v>
      </c>
      <c r="C1995" t="s">
        <v>1343</v>
      </c>
    </row>
    <row r="1996" spans="1:3" x14ac:dyDescent="0.2">
      <c r="A1996" t="s">
        <v>5057</v>
      </c>
      <c r="B1996" t="s">
        <v>1339</v>
      </c>
      <c r="C1996" t="s">
        <v>1343</v>
      </c>
    </row>
    <row r="1997" spans="1:3" x14ac:dyDescent="0.2">
      <c r="A1997" t="s">
        <v>4700</v>
      </c>
      <c r="B1997" t="s">
        <v>1339</v>
      </c>
      <c r="C1997" t="s">
        <v>1343</v>
      </c>
    </row>
    <row r="1998" spans="1:3" x14ac:dyDescent="0.2">
      <c r="A1998" t="s">
        <v>1540</v>
      </c>
      <c r="B1998" t="s">
        <v>1339</v>
      </c>
      <c r="C1998" t="s">
        <v>1343</v>
      </c>
    </row>
    <row r="1999" spans="1:3" x14ac:dyDescent="0.2">
      <c r="A1999" t="s">
        <v>4572</v>
      </c>
      <c r="B1999" t="s">
        <v>1339</v>
      </c>
      <c r="C1999" t="s">
        <v>1343</v>
      </c>
    </row>
    <row r="2000" spans="1:3" x14ac:dyDescent="0.2">
      <c r="A2000" t="s">
        <v>1541</v>
      </c>
      <c r="B2000" t="s">
        <v>1339</v>
      </c>
      <c r="C2000" t="s">
        <v>1343</v>
      </c>
    </row>
    <row r="2001" spans="1:3" x14ac:dyDescent="0.2">
      <c r="A2001" t="s">
        <v>5484</v>
      </c>
      <c r="B2001" t="s">
        <v>1339</v>
      </c>
      <c r="C2001" t="s">
        <v>1343</v>
      </c>
    </row>
    <row r="2002" spans="1:3" x14ac:dyDescent="0.2">
      <c r="A2002" t="s">
        <v>1542</v>
      </c>
      <c r="B2002" t="s">
        <v>1339</v>
      </c>
      <c r="C2002" t="s">
        <v>1343</v>
      </c>
    </row>
    <row r="2003" spans="1:3" x14ac:dyDescent="0.2">
      <c r="A2003" t="s">
        <v>5058</v>
      </c>
      <c r="B2003" t="s">
        <v>1339</v>
      </c>
      <c r="C2003" t="s">
        <v>1343</v>
      </c>
    </row>
    <row r="2004" spans="1:3" x14ac:dyDescent="0.2">
      <c r="A2004" t="s">
        <v>1543</v>
      </c>
      <c r="B2004" t="s">
        <v>1339</v>
      </c>
      <c r="C2004" t="s">
        <v>1343</v>
      </c>
    </row>
    <row r="2005" spans="1:3" x14ac:dyDescent="0.2">
      <c r="A2005" t="s">
        <v>4573</v>
      </c>
      <c r="B2005" t="s">
        <v>1339</v>
      </c>
      <c r="C2005" t="s">
        <v>1343</v>
      </c>
    </row>
    <row r="2006" spans="1:3" x14ac:dyDescent="0.2">
      <c r="A2006" t="s">
        <v>1544</v>
      </c>
      <c r="B2006" t="s">
        <v>1339</v>
      </c>
      <c r="C2006" t="s">
        <v>1343</v>
      </c>
    </row>
    <row r="2007" spans="1:3" x14ac:dyDescent="0.2">
      <c r="A2007" t="s">
        <v>1545</v>
      </c>
      <c r="B2007" t="s">
        <v>1339</v>
      </c>
      <c r="C2007" t="s">
        <v>1343</v>
      </c>
    </row>
    <row r="2008" spans="1:3" x14ac:dyDescent="0.2">
      <c r="A2008" t="s">
        <v>5485</v>
      </c>
      <c r="B2008" t="s">
        <v>1339</v>
      </c>
      <c r="C2008" t="s">
        <v>1343</v>
      </c>
    </row>
    <row r="2009" spans="1:3" x14ac:dyDescent="0.2">
      <c r="A2009" t="s">
        <v>1546</v>
      </c>
      <c r="B2009" t="s">
        <v>1339</v>
      </c>
      <c r="C2009" t="s">
        <v>1343</v>
      </c>
    </row>
    <row r="2010" spans="1:3" x14ac:dyDescent="0.2">
      <c r="A2010" t="s">
        <v>1547</v>
      </c>
      <c r="B2010" t="s">
        <v>1339</v>
      </c>
      <c r="C2010" t="s">
        <v>1343</v>
      </c>
    </row>
    <row r="2011" spans="1:3" x14ac:dyDescent="0.2">
      <c r="A2011" t="s">
        <v>1548</v>
      </c>
      <c r="B2011" t="s">
        <v>1339</v>
      </c>
      <c r="C2011" t="s">
        <v>1343</v>
      </c>
    </row>
    <row r="2012" spans="1:3" x14ac:dyDescent="0.2">
      <c r="A2012" t="s">
        <v>5189</v>
      </c>
      <c r="B2012" t="s">
        <v>1339</v>
      </c>
      <c r="C2012" t="s">
        <v>1343</v>
      </c>
    </row>
    <row r="2013" spans="1:3" x14ac:dyDescent="0.2">
      <c r="A2013" t="s">
        <v>1549</v>
      </c>
      <c r="B2013" t="s">
        <v>1339</v>
      </c>
      <c r="C2013" t="s">
        <v>1343</v>
      </c>
    </row>
    <row r="2014" spans="1:3" x14ac:dyDescent="0.2">
      <c r="A2014" t="s">
        <v>1550</v>
      </c>
      <c r="B2014" t="s">
        <v>1339</v>
      </c>
      <c r="C2014" t="s">
        <v>1343</v>
      </c>
    </row>
    <row r="2015" spans="1:3" x14ac:dyDescent="0.2">
      <c r="A2015" t="s">
        <v>1551</v>
      </c>
      <c r="B2015" t="s">
        <v>1339</v>
      </c>
      <c r="C2015" t="s">
        <v>1343</v>
      </c>
    </row>
    <row r="2016" spans="1:3" x14ac:dyDescent="0.2">
      <c r="A2016" t="s">
        <v>1552</v>
      </c>
      <c r="B2016" t="s">
        <v>1339</v>
      </c>
      <c r="C2016" t="s">
        <v>1343</v>
      </c>
    </row>
    <row r="2017" spans="1:3" x14ac:dyDescent="0.2">
      <c r="A2017" t="s">
        <v>6456</v>
      </c>
      <c r="B2017" t="s">
        <v>1339</v>
      </c>
      <c r="C2017" t="s">
        <v>1343</v>
      </c>
    </row>
    <row r="2018" spans="1:3" x14ac:dyDescent="0.2">
      <c r="A2018" t="s">
        <v>5694</v>
      </c>
      <c r="B2018" t="s">
        <v>1339</v>
      </c>
      <c r="C2018" t="s">
        <v>1340</v>
      </c>
    </row>
    <row r="2019" spans="1:3" x14ac:dyDescent="0.2">
      <c r="A2019" t="s">
        <v>1553</v>
      </c>
      <c r="B2019" t="s">
        <v>1339</v>
      </c>
      <c r="C2019" t="s">
        <v>1343</v>
      </c>
    </row>
    <row r="2020" spans="1:3" x14ac:dyDescent="0.2">
      <c r="A2020" t="s">
        <v>1554</v>
      </c>
      <c r="B2020" t="s">
        <v>1339</v>
      </c>
      <c r="C2020" t="s">
        <v>1343</v>
      </c>
    </row>
    <row r="2021" spans="1:3" x14ac:dyDescent="0.2">
      <c r="A2021" t="s">
        <v>1555</v>
      </c>
      <c r="B2021" t="s">
        <v>1339</v>
      </c>
      <c r="C2021" t="s">
        <v>1343</v>
      </c>
    </row>
    <row r="2022" spans="1:3" x14ac:dyDescent="0.2">
      <c r="A2022" t="s">
        <v>1556</v>
      </c>
      <c r="B2022" t="s">
        <v>1339</v>
      </c>
      <c r="C2022" t="s">
        <v>1343</v>
      </c>
    </row>
    <row r="2023" spans="1:3" x14ac:dyDescent="0.2">
      <c r="A2023" t="s">
        <v>1557</v>
      </c>
      <c r="B2023" t="s">
        <v>1339</v>
      </c>
      <c r="C2023" t="s">
        <v>1343</v>
      </c>
    </row>
    <row r="2024" spans="1:3" x14ac:dyDescent="0.2">
      <c r="A2024" t="s">
        <v>1558</v>
      </c>
      <c r="B2024" t="s">
        <v>1339</v>
      </c>
      <c r="C2024" t="s">
        <v>1343</v>
      </c>
    </row>
    <row r="2025" spans="1:3" x14ac:dyDescent="0.2">
      <c r="A2025" t="s">
        <v>1559</v>
      </c>
      <c r="B2025" t="s">
        <v>1339</v>
      </c>
      <c r="C2025" t="s">
        <v>1343</v>
      </c>
    </row>
    <row r="2026" spans="1:3" x14ac:dyDescent="0.2">
      <c r="A2026" t="s">
        <v>1560</v>
      </c>
      <c r="B2026" t="s">
        <v>1339</v>
      </c>
      <c r="C2026" t="s">
        <v>1343</v>
      </c>
    </row>
    <row r="2027" spans="1:3" x14ac:dyDescent="0.2">
      <c r="A2027" t="s">
        <v>1561</v>
      </c>
      <c r="B2027" t="s">
        <v>1339</v>
      </c>
      <c r="C2027" t="s">
        <v>1343</v>
      </c>
    </row>
    <row r="2028" spans="1:3" x14ac:dyDescent="0.2">
      <c r="A2028" t="s">
        <v>1562</v>
      </c>
      <c r="B2028" t="s">
        <v>1339</v>
      </c>
      <c r="C2028" t="s">
        <v>1343</v>
      </c>
    </row>
    <row r="2029" spans="1:3" x14ac:dyDescent="0.2">
      <c r="A2029" t="s">
        <v>1563</v>
      </c>
      <c r="B2029" t="s">
        <v>1339</v>
      </c>
      <c r="C2029" t="s">
        <v>1343</v>
      </c>
    </row>
    <row r="2030" spans="1:3" x14ac:dyDescent="0.2">
      <c r="A2030" t="s">
        <v>1564</v>
      </c>
      <c r="B2030" t="s">
        <v>1339</v>
      </c>
      <c r="C2030" t="s">
        <v>1343</v>
      </c>
    </row>
    <row r="2031" spans="1:3" x14ac:dyDescent="0.2">
      <c r="A2031" t="s">
        <v>1565</v>
      </c>
      <c r="B2031" t="s">
        <v>1339</v>
      </c>
      <c r="C2031" t="s">
        <v>1343</v>
      </c>
    </row>
    <row r="2032" spans="1:3" x14ac:dyDescent="0.2">
      <c r="A2032" t="s">
        <v>1566</v>
      </c>
      <c r="B2032" t="s">
        <v>1339</v>
      </c>
      <c r="C2032" t="s">
        <v>1343</v>
      </c>
    </row>
    <row r="2033" spans="1:3" x14ac:dyDescent="0.2">
      <c r="A2033" t="s">
        <v>1567</v>
      </c>
      <c r="B2033" t="s">
        <v>1339</v>
      </c>
      <c r="C2033" t="s">
        <v>1343</v>
      </c>
    </row>
    <row r="2034" spans="1:3" x14ac:dyDescent="0.2">
      <c r="A2034" t="s">
        <v>1568</v>
      </c>
      <c r="B2034" t="s">
        <v>1339</v>
      </c>
      <c r="C2034" t="s">
        <v>1343</v>
      </c>
    </row>
    <row r="2035" spans="1:3" x14ac:dyDescent="0.2">
      <c r="A2035" t="s">
        <v>1569</v>
      </c>
      <c r="B2035" t="s">
        <v>1339</v>
      </c>
      <c r="C2035" t="s">
        <v>1343</v>
      </c>
    </row>
    <row r="2036" spans="1:3" x14ac:dyDescent="0.2">
      <c r="A2036" t="s">
        <v>5577</v>
      </c>
      <c r="B2036" t="s">
        <v>1339</v>
      </c>
      <c r="C2036" t="s">
        <v>1343</v>
      </c>
    </row>
    <row r="2037" spans="1:3" x14ac:dyDescent="0.2">
      <c r="A2037" t="s">
        <v>6457</v>
      </c>
      <c r="B2037" t="s">
        <v>1339</v>
      </c>
      <c r="C2037" t="s">
        <v>1343</v>
      </c>
    </row>
    <row r="2038" spans="1:3" x14ac:dyDescent="0.2">
      <c r="A2038" t="s">
        <v>1570</v>
      </c>
      <c r="B2038" t="s">
        <v>1339</v>
      </c>
      <c r="C2038" t="s">
        <v>1343</v>
      </c>
    </row>
    <row r="2039" spans="1:3" x14ac:dyDescent="0.2">
      <c r="A2039" t="s">
        <v>5836</v>
      </c>
      <c r="B2039" t="s">
        <v>1339</v>
      </c>
      <c r="C2039" t="s">
        <v>1343</v>
      </c>
    </row>
    <row r="2040" spans="1:3" x14ac:dyDescent="0.2">
      <c r="A2040" t="s">
        <v>4574</v>
      </c>
      <c r="B2040" t="s">
        <v>1339</v>
      </c>
      <c r="C2040" t="s">
        <v>1343</v>
      </c>
    </row>
    <row r="2041" spans="1:3" x14ac:dyDescent="0.2">
      <c r="A2041" t="s">
        <v>5578</v>
      </c>
      <c r="B2041" t="s">
        <v>1339</v>
      </c>
      <c r="C2041" t="s">
        <v>1343</v>
      </c>
    </row>
    <row r="2042" spans="1:3" x14ac:dyDescent="0.2">
      <c r="A2042" t="s">
        <v>1571</v>
      </c>
      <c r="B2042" t="s">
        <v>1339</v>
      </c>
      <c r="C2042" t="s">
        <v>1343</v>
      </c>
    </row>
    <row r="2043" spans="1:3" x14ac:dyDescent="0.2">
      <c r="A2043" t="s">
        <v>1572</v>
      </c>
      <c r="B2043" t="s">
        <v>1339</v>
      </c>
      <c r="C2043" t="s">
        <v>1343</v>
      </c>
    </row>
    <row r="2044" spans="1:3" x14ac:dyDescent="0.2">
      <c r="A2044" t="s">
        <v>1573</v>
      </c>
      <c r="B2044" t="s">
        <v>1339</v>
      </c>
      <c r="C2044" t="s">
        <v>1343</v>
      </c>
    </row>
    <row r="2045" spans="1:3" x14ac:dyDescent="0.2">
      <c r="A2045" t="s">
        <v>1574</v>
      </c>
      <c r="B2045" t="s">
        <v>1339</v>
      </c>
      <c r="C2045" t="s">
        <v>1343</v>
      </c>
    </row>
    <row r="2046" spans="1:3" x14ac:dyDescent="0.2">
      <c r="A2046" t="s">
        <v>5190</v>
      </c>
      <c r="B2046" t="s">
        <v>1339</v>
      </c>
      <c r="C2046" t="s">
        <v>1343</v>
      </c>
    </row>
    <row r="2047" spans="1:3" x14ac:dyDescent="0.2">
      <c r="A2047" t="s">
        <v>1575</v>
      </c>
      <c r="B2047" t="s">
        <v>1339</v>
      </c>
      <c r="C2047" t="s">
        <v>1343</v>
      </c>
    </row>
    <row r="2048" spans="1:3" x14ac:dyDescent="0.2">
      <c r="A2048" t="s">
        <v>1576</v>
      </c>
      <c r="B2048" t="s">
        <v>1339</v>
      </c>
      <c r="C2048" t="s">
        <v>1343</v>
      </c>
    </row>
    <row r="2049" spans="1:3" x14ac:dyDescent="0.2">
      <c r="A2049" t="s">
        <v>1577</v>
      </c>
      <c r="B2049" t="s">
        <v>1339</v>
      </c>
      <c r="C2049" t="s">
        <v>1343</v>
      </c>
    </row>
    <row r="2050" spans="1:3" x14ac:dyDescent="0.2">
      <c r="A2050" t="s">
        <v>5579</v>
      </c>
      <c r="B2050" t="s">
        <v>1339</v>
      </c>
      <c r="C2050" t="s">
        <v>1343</v>
      </c>
    </row>
    <row r="2051" spans="1:3" x14ac:dyDescent="0.2">
      <c r="A2051" t="s">
        <v>1578</v>
      </c>
      <c r="B2051" t="s">
        <v>1339</v>
      </c>
      <c r="C2051" t="s">
        <v>1343</v>
      </c>
    </row>
    <row r="2052" spans="1:3" x14ac:dyDescent="0.2">
      <c r="A2052" t="s">
        <v>1579</v>
      </c>
      <c r="B2052" t="s">
        <v>1339</v>
      </c>
      <c r="C2052" t="s">
        <v>1343</v>
      </c>
    </row>
    <row r="2053" spans="1:3" x14ac:dyDescent="0.2">
      <c r="A2053" t="s">
        <v>1580</v>
      </c>
      <c r="B2053" t="s">
        <v>1339</v>
      </c>
      <c r="C2053" t="s">
        <v>1343</v>
      </c>
    </row>
    <row r="2054" spans="1:3" x14ac:dyDescent="0.2">
      <c r="A2054" t="s">
        <v>1581</v>
      </c>
      <c r="B2054" t="s">
        <v>1339</v>
      </c>
      <c r="C2054" t="s">
        <v>1343</v>
      </c>
    </row>
    <row r="2055" spans="1:3" x14ac:dyDescent="0.2">
      <c r="A2055" t="s">
        <v>5191</v>
      </c>
      <c r="B2055" t="s">
        <v>1339</v>
      </c>
      <c r="C2055" t="s">
        <v>1343</v>
      </c>
    </row>
    <row r="2056" spans="1:3" x14ac:dyDescent="0.2">
      <c r="A2056" t="s">
        <v>1582</v>
      </c>
      <c r="B2056" t="s">
        <v>1339</v>
      </c>
      <c r="C2056" t="s">
        <v>1343</v>
      </c>
    </row>
    <row r="2057" spans="1:3" x14ac:dyDescent="0.2">
      <c r="A2057" t="s">
        <v>1583</v>
      </c>
      <c r="B2057" t="s">
        <v>1339</v>
      </c>
      <c r="C2057" t="s">
        <v>1343</v>
      </c>
    </row>
    <row r="2058" spans="1:3" x14ac:dyDescent="0.2">
      <c r="A2058" t="s">
        <v>5486</v>
      </c>
      <c r="B2058" t="s">
        <v>1339</v>
      </c>
      <c r="C2058" t="s">
        <v>1343</v>
      </c>
    </row>
    <row r="2059" spans="1:3" x14ac:dyDescent="0.2">
      <c r="A2059" t="s">
        <v>1584</v>
      </c>
      <c r="B2059" t="s">
        <v>1339</v>
      </c>
      <c r="C2059" t="s">
        <v>1343</v>
      </c>
    </row>
    <row r="2060" spans="1:3" x14ac:dyDescent="0.2">
      <c r="A2060" t="s">
        <v>1585</v>
      </c>
      <c r="B2060" t="s">
        <v>1339</v>
      </c>
      <c r="C2060" t="s">
        <v>1343</v>
      </c>
    </row>
    <row r="2061" spans="1:3" x14ac:dyDescent="0.2">
      <c r="A2061" t="s">
        <v>1586</v>
      </c>
      <c r="B2061" t="s">
        <v>1339</v>
      </c>
      <c r="C2061" t="s">
        <v>1343</v>
      </c>
    </row>
    <row r="2062" spans="1:3" x14ac:dyDescent="0.2">
      <c r="A2062" t="s">
        <v>1587</v>
      </c>
      <c r="B2062" t="s">
        <v>1339</v>
      </c>
      <c r="C2062" t="s">
        <v>1343</v>
      </c>
    </row>
    <row r="2063" spans="1:3" x14ac:dyDescent="0.2">
      <c r="A2063" t="s">
        <v>1588</v>
      </c>
      <c r="B2063" t="s">
        <v>1339</v>
      </c>
      <c r="C2063" t="s">
        <v>1343</v>
      </c>
    </row>
    <row r="2064" spans="1:3" x14ac:dyDescent="0.2">
      <c r="A2064" t="s">
        <v>1589</v>
      </c>
      <c r="B2064" t="s">
        <v>1339</v>
      </c>
      <c r="C2064" t="s">
        <v>1343</v>
      </c>
    </row>
    <row r="2065" spans="1:3" x14ac:dyDescent="0.2">
      <c r="A2065" t="s">
        <v>4701</v>
      </c>
      <c r="B2065" t="s">
        <v>1339</v>
      </c>
      <c r="C2065" t="s">
        <v>1343</v>
      </c>
    </row>
    <row r="2066" spans="1:3" x14ac:dyDescent="0.2">
      <c r="A2066" t="s">
        <v>1590</v>
      </c>
      <c r="B2066" t="s">
        <v>1339</v>
      </c>
      <c r="C2066" t="s">
        <v>1343</v>
      </c>
    </row>
    <row r="2067" spans="1:3" x14ac:dyDescent="0.2">
      <c r="A2067" t="s">
        <v>1591</v>
      </c>
      <c r="B2067" t="s">
        <v>1339</v>
      </c>
      <c r="C2067" t="s">
        <v>1343</v>
      </c>
    </row>
    <row r="2068" spans="1:3" x14ac:dyDescent="0.2">
      <c r="A2068" t="s">
        <v>1592</v>
      </c>
      <c r="B2068" t="s">
        <v>1339</v>
      </c>
      <c r="C2068" t="s">
        <v>1343</v>
      </c>
    </row>
    <row r="2069" spans="1:3" x14ac:dyDescent="0.2">
      <c r="A2069" t="s">
        <v>1593</v>
      </c>
      <c r="B2069" t="s">
        <v>1339</v>
      </c>
      <c r="C2069" t="s">
        <v>1343</v>
      </c>
    </row>
    <row r="2070" spans="1:3" x14ac:dyDescent="0.2">
      <c r="A2070" t="s">
        <v>1594</v>
      </c>
      <c r="B2070" t="s">
        <v>1339</v>
      </c>
      <c r="C2070" t="s">
        <v>1343</v>
      </c>
    </row>
    <row r="2071" spans="1:3" x14ac:dyDescent="0.2">
      <c r="A2071" t="s">
        <v>1595</v>
      </c>
      <c r="B2071" t="s">
        <v>1339</v>
      </c>
      <c r="C2071" t="s">
        <v>1343</v>
      </c>
    </row>
    <row r="2072" spans="1:3" x14ac:dyDescent="0.2">
      <c r="A2072" t="s">
        <v>1596</v>
      </c>
      <c r="B2072" t="s">
        <v>1339</v>
      </c>
      <c r="C2072" t="s">
        <v>1343</v>
      </c>
    </row>
    <row r="2073" spans="1:3" x14ac:dyDescent="0.2">
      <c r="A2073" t="s">
        <v>1597</v>
      </c>
      <c r="B2073" t="s">
        <v>1339</v>
      </c>
      <c r="C2073" t="s">
        <v>1343</v>
      </c>
    </row>
    <row r="2074" spans="1:3" x14ac:dyDescent="0.2">
      <c r="A2074" t="s">
        <v>1598</v>
      </c>
      <c r="B2074" t="s">
        <v>1339</v>
      </c>
      <c r="C2074" t="s">
        <v>1343</v>
      </c>
    </row>
    <row r="2075" spans="1:3" x14ac:dyDescent="0.2">
      <c r="A2075" t="s">
        <v>6458</v>
      </c>
      <c r="B2075" t="s">
        <v>1339</v>
      </c>
      <c r="C2075" t="s">
        <v>1343</v>
      </c>
    </row>
    <row r="2076" spans="1:3" x14ac:dyDescent="0.2">
      <c r="A2076" t="s">
        <v>1599</v>
      </c>
      <c r="B2076" t="s">
        <v>1339</v>
      </c>
      <c r="C2076" t="s">
        <v>1343</v>
      </c>
    </row>
    <row r="2077" spans="1:3" x14ac:dyDescent="0.2">
      <c r="A2077" t="s">
        <v>1600</v>
      </c>
      <c r="B2077" t="s">
        <v>1339</v>
      </c>
      <c r="C2077" t="s">
        <v>1343</v>
      </c>
    </row>
    <row r="2078" spans="1:3" x14ac:dyDescent="0.2">
      <c r="A2078" t="s">
        <v>4940</v>
      </c>
      <c r="B2078" t="s">
        <v>1339</v>
      </c>
      <c r="C2078" t="s">
        <v>1343</v>
      </c>
    </row>
    <row r="2079" spans="1:3" x14ac:dyDescent="0.2">
      <c r="A2079" t="s">
        <v>1601</v>
      </c>
      <c r="B2079" t="s">
        <v>1339</v>
      </c>
      <c r="C2079" t="s">
        <v>1343</v>
      </c>
    </row>
    <row r="2080" spans="1:3" x14ac:dyDescent="0.2">
      <c r="A2080" t="s">
        <v>1602</v>
      </c>
      <c r="B2080" t="s">
        <v>1339</v>
      </c>
      <c r="C2080" t="s">
        <v>1343</v>
      </c>
    </row>
    <row r="2081" spans="1:3" x14ac:dyDescent="0.2">
      <c r="A2081" t="s">
        <v>4702</v>
      </c>
      <c r="B2081" t="s">
        <v>1339</v>
      </c>
      <c r="C2081" t="s">
        <v>1343</v>
      </c>
    </row>
    <row r="2082" spans="1:3" x14ac:dyDescent="0.2">
      <c r="A2082" t="s">
        <v>5059</v>
      </c>
      <c r="B2082" t="s">
        <v>1339</v>
      </c>
      <c r="C2082" t="s">
        <v>1343</v>
      </c>
    </row>
    <row r="2083" spans="1:3" x14ac:dyDescent="0.2">
      <c r="A2083" t="s">
        <v>5837</v>
      </c>
      <c r="B2083" t="s">
        <v>1339</v>
      </c>
      <c r="C2083" t="s">
        <v>1343</v>
      </c>
    </row>
    <row r="2084" spans="1:3" x14ac:dyDescent="0.2">
      <c r="A2084" t="s">
        <v>5192</v>
      </c>
      <c r="B2084" t="s">
        <v>1339</v>
      </c>
      <c r="C2084" t="s">
        <v>1343</v>
      </c>
    </row>
    <row r="2085" spans="1:3" x14ac:dyDescent="0.2">
      <c r="A2085" t="s">
        <v>4703</v>
      </c>
      <c r="B2085" t="s">
        <v>1339</v>
      </c>
      <c r="C2085" t="s">
        <v>1343</v>
      </c>
    </row>
    <row r="2086" spans="1:3" x14ac:dyDescent="0.2">
      <c r="A2086" t="s">
        <v>4704</v>
      </c>
      <c r="B2086" t="s">
        <v>1339</v>
      </c>
      <c r="C2086" t="s">
        <v>1343</v>
      </c>
    </row>
    <row r="2087" spans="1:3" x14ac:dyDescent="0.2">
      <c r="A2087" t="s">
        <v>1603</v>
      </c>
      <c r="B2087" t="s">
        <v>1339</v>
      </c>
      <c r="C2087" t="s">
        <v>1343</v>
      </c>
    </row>
    <row r="2088" spans="1:3" x14ac:dyDescent="0.2">
      <c r="A2088" t="s">
        <v>5193</v>
      </c>
      <c r="B2088" t="s">
        <v>1339</v>
      </c>
      <c r="C2088" t="s">
        <v>1343</v>
      </c>
    </row>
    <row r="2089" spans="1:3" x14ac:dyDescent="0.2">
      <c r="A2089" t="s">
        <v>1604</v>
      </c>
      <c r="B2089" t="s">
        <v>1339</v>
      </c>
      <c r="C2089" t="s">
        <v>1343</v>
      </c>
    </row>
    <row r="2090" spans="1:3" x14ac:dyDescent="0.2">
      <c r="A2090" t="s">
        <v>1605</v>
      </c>
      <c r="B2090" t="s">
        <v>1339</v>
      </c>
      <c r="C2090" t="s">
        <v>1343</v>
      </c>
    </row>
    <row r="2091" spans="1:3" x14ac:dyDescent="0.2">
      <c r="A2091" t="s">
        <v>1606</v>
      </c>
      <c r="B2091" t="s">
        <v>1339</v>
      </c>
      <c r="C2091" t="s">
        <v>1343</v>
      </c>
    </row>
    <row r="2092" spans="1:3" x14ac:dyDescent="0.2">
      <c r="A2092" t="s">
        <v>1607</v>
      </c>
      <c r="B2092" t="s">
        <v>1339</v>
      </c>
      <c r="C2092" t="s">
        <v>1343</v>
      </c>
    </row>
    <row r="2093" spans="1:3" x14ac:dyDescent="0.2">
      <c r="A2093" t="s">
        <v>1608</v>
      </c>
      <c r="B2093" t="s">
        <v>1339</v>
      </c>
      <c r="C2093" t="s">
        <v>1343</v>
      </c>
    </row>
    <row r="2094" spans="1:3" x14ac:dyDescent="0.2">
      <c r="A2094" t="s">
        <v>1609</v>
      </c>
      <c r="B2094" t="s">
        <v>1339</v>
      </c>
      <c r="C2094" t="s">
        <v>1343</v>
      </c>
    </row>
    <row r="2095" spans="1:3" x14ac:dyDescent="0.2">
      <c r="A2095" t="s">
        <v>1610</v>
      </c>
      <c r="B2095" t="s">
        <v>1339</v>
      </c>
      <c r="C2095" t="s">
        <v>1343</v>
      </c>
    </row>
    <row r="2096" spans="1:3" x14ac:dyDescent="0.2">
      <c r="A2096" t="s">
        <v>1611</v>
      </c>
      <c r="B2096" t="s">
        <v>1339</v>
      </c>
      <c r="C2096" t="s">
        <v>1343</v>
      </c>
    </row>
    <row r="2097" spans="1:3" x14ac:dyDescent="0.2">
      <c r="A2097" t="s">
        <v>1612</v>
      </c>
      <c r="B2097" t="s">
        <v>1339</v>
      </c>
      <c r="C2097" t="s">
        <v>1343</v>
      </c>
    </row>
    <row r="2098" spans="1:3" x14ac:dyDescent="0.2">
      <c r="A2098" t="s">
        <v>1613</v>
      </c>
      <c r="B2098" t="s">
        <v>1339</v>
      </c>
      <c r="C2098" t="s">
        <v>1343</v>
      </c>
    </row>
    <row r="2099" spans="1:3" x14ac:dyDescent="0.2">
      <c r="A2099" t="s">
        <v>1614</v>
      </c>
      <c r="B2099" t="s">
        <v>1339</v>
      </c>
      <c r="C2099" t="s">
        <v>1343</v>
      </c>
    </row>
    <row r="2100" spans="1:3" x14ac:dyDescent="0.2">
      <c r="A2100" t="s">
        <v>5487</v>
      </c>
      <c r="B2100" t="s">
        <v>1339</v>
      </c>
      <c r="C2100" t="s">
        <v>1343</v>
      </c>
    </row>
    <row r="2101" spans="1:3" x14ac:dyDescent="0.2">
      <c r="A2101" t="s">
        <v>1615</v>
      </c>
      <c r="B2101" t="s">
        <v>1339</v>
      </c>
      <c r="C2101" t="s">
        <v>1343</v>
      </c>
    </row>
    <row r="2102" spans="1:3" x14ac:dyDescent="0.2">
      <c r="A2102" t="s">
        <v>1616</v>
      </c>
      <c r="B2102" t="s">
        <v>1339</v>
      </c>
      <c r="C2102" t="s">
        <v>1343</v>
      </c>
    </row>
    <row r="2103" spans="1:3" x14ac:dyDescent="0.2">
      <c r="A2103" t="s">
        <v>1617</v>
      </c>
      <c r="B2103" t="s">
        <v>1339</v>
      </c>
      <c r="C2103" t="s">
        <v>1343</v>
      </c>
    </row>
    <row r="2104" spans="1:3" x14ac:dyDescent="0.2">
      <c r="A2104" t="s">
        <v>1618</v>
      </c>
      <c r="B2104" t="s">
        <v>1339</v>
      </c>
      <c r="C2104" t="s">
        <v>1343</v>
      </c>
    </row>
    <row r="2105" spans="1:3" x14ac:dyDescent="0.2">
      <c r="A2105" t="s">
        <v>1619</v>
      </c>
      <c r="B2105" t="s">
        <v>1339</v>
      </c>
      <c r="C2105" t="s">
        <v>1343</v>
      </c>
    </row>
    <row r="2106" spans="1:3" x14ac:dyDescent="0.2">
      <c r="A2106" t="s">
        <v>1620</v>
      </c>
      <c r="B2106" t="s">
        <v>1339</v>
      </c>
      <c r="C2106" t="s">
        <v>1343</v>
      </c>
    </row>
    <row r="2107" spans="1:3" x14ac:dyDescent="0.2">
      <c r="A2107" t="s">
        <v>1621</v>
      </c>
      <c r="B2107" t="s">
        <v>1339</v>
      </c>
      <c r="C2107" t="s">
        <v>1343</v>
      </c>
    </row>
    <row r="2108" spans="1:3" x14ac:dyDescent="0.2">
      <c r="A2108" t="s">
        <v>5060</v>
      </c>
      <c r="B2108" t="s">
        <v>1339</v>
      </c>
      <c r="C2108" t="s">
        <v>1343</v>
      </c>
    </row>
    <row r="2109" spans="1:3" x14ac:dyDescent="0.2">
      <c r="A2109" t="s">
        <v>1622</v>
      </c>
      <c r="B2109" t="s">
        <v>1339</v>
      </c>
      <c r="C2109" t="s">
        <v>1343</v>
      </c>
    </row>
    <row r="2110" spans="1:3" x14ac:dyDescent="0.2">
      <c r="A2110" t="s">
        <v>5194</v>
      </c>
      <c r="B2110" t="s">
        <v>1339</v>
      </c>
      <c r="C2110" t="s">
        <v>1343</v>
      </c>
    </row>
    <row r="2111" spans="1:3" x14ac:dyDescent="0.2">
      <c r="A2111" t="s">
        <v>4575</v>
      </c>
      <c r="B2111" t="s">
        <v>1339</v>
      </c>
      <c r="C2111" t="s">
        <v>1343</v>
      </c>
    </row>
    <row r="2112" spans="1:3" x14ac:dyDescent="0.2">
      <c r="A2112" t="s">
        <v>1623</v>
      </c>
      <c r="B2112" t="s">
        <v>1339</v>
      </c>
      <c r="C2112" t="s">
        <v>1343</v>
      </c>
    </row>
    <row r="2113" spans="1:3" x14ac:dyDescent="0.2">
      <c r="A2113" t="s">
        <v>5580</v>
      </c>
      <c r="B2113" t="s">
        <v>1339</v>
      </c>
      <c r="C2113" t="s">
        <v>1343</v>
      </c>
    </row>
    <row r="2114" spans="1:3" x14ac:dyDescent="0.2">
      <c r="A2114" t="s">
        <v>1624</v>
      </c>
      <c r="B2114" t="s">
        <v>1339</v>
      </c>
      <c r="C2114" t="s">
        <v>1343</v>
      </c>
    </row>
    <row r="2115" spans="1:3" x14ac:dyDescent="0.2">
      <c r="A2115" t="s">
        <v>5061</v>
      </c>
      <c r="B2115" t="s">
        <v>1339</v>
      </c>
      <c r="C2115" t="s">
        <v>1343</v>
      </c>
    </row>
    <row r="2116" spans="1:3" x14ac:dyDescent="0.2">
      <c r="A2116" t="s">
        <v>1625</v>
      </c>
      <c r="B2116" t="s">
        <v>1339</v>
      </c>
      <c r="C2116" t="s">
        <v>1343</v>
      </c>
    </row>
    <row r="2117" spans="1:3" x14ac:dyDescent="0.2">
      <c r="A2117" t="s">
        <v>1626</v>
      </c>
      <c r="B2117" t="s">
        <v>1339</v>
      </c>
      <c r="C2117" t="s">
        <v>1343</v>
      </c>
    </row>
    <row r="2118" spans="1:3" x14ac:dyDescent="0.2">
      <c r="A2118" t="s">
        <v>1627</v>
      </c>
      <c r="B2118" t="s">
        <v>1339</v>
      </c>
      <c r="C2118" t="s">
        <v>1343</v>
      </c>
    </row>
    <row r="2119" spans="1:3" x14ac:dyDescent="0.2">
      <c r="A2119" t="s">
        <v>1628</v>
      </c>
      <c r="B2119" t="s">
        <v>1339</v>
      </c>
      <c r="C2119" t="s">
        <v>1343</v>
      </c>
    </row>
    <row r="2120" spans="1:3" x14ac:dyDescent="0.2">
      <c r="A2120" t="s">
        <v>6459</v>
      </c>
      <c r="B2120" t="s">
        <v>1339</v>
      </c>
      <c r="C2120" t="s">
        <v>1343</v>
      </c>
    </row>
    <row r="2121" spans="1:3" x14ac:dyDescent="0.2">
      <c r="A2121" t="s">
        <v>1629</v>
      </c>
      <c r="B2121" t="s">
        <v>1339</v>
      </c>
      <c r="C2121" t="s">
        <v>1343</v>
      </c>
    </row>
    <row r="2122" spans="1:3" x14ac:dyDescent="0.2">
      <c r="A2122" t="s">
        <v>1630</v>
      </c>
      <c r="B2122" t="s">
        <v>1339</v>
      </c>
      <c r="C2122" t="s">
        <v>1343</v>
      </c>
    </row>
    <row r="2123" spans="1:3" x14ac:dyDescent="0.2">
      <c r="A2123" t="s">
        <v>1631</v>
      </c>
      <c r="B2123" t="s">
        <v>1339</v>
      </c>
      <c r="C2123" t="s">
        <v>1343</v>
      </c>
    </row>
    <row r="2124" spans="1:3" x14ac:dyDescent="0.2">
      <c r="A2124" t="s">
        <v>6460</v>
      </c>
      <c r="B2124" t="s">
        <v>1339</v>
      </c>
      <c r="C2124" t="s">
        <v>1343</v>
      </c>
    </row>
    <row r="2125" spans="1:3" x14ac:dyDescent="0.2">
      <c r="A2125" t="s">
        <v>1632</v>
      </c>
      <c r="B2125" t="s">
        <v>1339</v>
      </c>
      <c r="C2125" t="s">
        <v>1343</v>
      </c>
    </row>
    <row r="2126" spans="1:3" x14ac:dyDescent="0.2">
      <c r="A2126" t="s">
        <v>5488</v>
      </c>
      <c r="B2126" t="s">
        <v>1339</v>
      </c>
      <c r="C2126" t="s">
        <v>1343</v>
      </c>
    </row>
    <row r="2127" spans="1:3" x14ac:dyDescent="0.2">
      <c r="A2127" t="s">
        <v>1633</v>
      </c>
      <c r="B2127" t="s">
        <v>1339</v>
      </c>
      <c r="C2127" t="s">
        <v>1343</v>
      </c>
    </row>
    <row r="2128" spans="1:3" x14ac:dyDescent="0.2">
      <c r="A2128" t="s">
        <v>5695</v>
      </c>
      <c r="B2128" t="s">
        <v>1339</v>
      </c>
      <c r="C2128" t="s">
        <v>1340</v>
      </c>
    </row>
    <row r="2129" spans="1:3" x14ac:dyDescent="0.2">
      <c r="A2129" t="s">
        <v>1634</v>
      </c>
      <c r="B2129" t="s">
        <v>1339</v>
      </c>
      <c r="C2129" t="s">
        <v>1343</v>
      </c>
    </row>
    <row r="2130" spans="1:3" x14ac:dyDescent="0.2">
      <c r="A2130" t="s">
        <v>1635</v>
      </c>
      <c r="B2130" t="s">
        <v>1339</v>
      </c>
      <c r="C2130" t="s">
        <v>1343</v>
      </c>
    </row>
    <row r="2131" spans="1:3" x14ac:dyDescent="0.2">
      <c r="A2131" t="s">
        <v>1636</v>
      </c>
      <c r="B2131" t="s">
        <v>1339</v>
      </c>
      <c r="C2131" t="s">
        <v>1343</v>
      </c>
    </row>
    <row r="2132" spans="1:3" x14ac:dyDescent="0.2">
      <c r="A2132" t="s">
        <v>1637</v>
      </c>
      <c r="B2132" t="s">
        <v>1339</v>
      </c>
      <c r="C2132" t="s">
        <v>1343</v>
      </c>
    </row>
    <row r="2133" spans="1:3" x14ac:dyDescent="0.2">
      <c r="A2133" t="s">
        <v>6461</v>
      </c>
      <c r="B2133" t="s">
        <v>1339</v>
      </c>
      <c r="C2133" t="s">
        <v>1343</v>
      </c>
    </row>
    <row r="2134" spans="1:3" x14ac:dyDescent="0.2">
      <c r="A2134" t="s">
        <v>1638</v>
      </c>
      <c r="B2134" t="s">
        <v>1339</v>
      </c>
      <c r="C2134" t="s">
        <v>1343</v>
      </c>
    </row>
    <row r="2135" spans="1:3" x14ac:dyDescent="0.2">
      <c r="A2135" t="s">
        <v>1639</v>
      </c>
      <c r="B2135" t="s">
        <v>1339</v>
      </c>
      <c r="C2135" t="s">
        <v>1343</v>
      </c>
    </row>
    <row r="2136" spans="1:3" x14ac:dyDescent="0.2">
      <c r="A2136" t="s">
        <v>1640</v>
      </c>
      <c r="B2136" t="s">
        <v>1339</v>
      </c>
      <c r="C2136" t="s">
        <v>1343</v>
      </c>
    </row>
    <row r="2137" spans="1:3" x14ac:dyDescent="0.2">
      <c r="A2137" t="s">
        <v>1641</v>
      </c>
      <c r="B2137" t="s">
        <v>1339</v>
      </c>
      <c r="C2137" t="s">
        <v>1343</v>
      </c>
    </row>
    <row r="2138" spans="1:3" x14ac:dyDescent="0.2">
      <c r="A2138" t="s">
        <v>4941</v>
      </c>
      <c r="B2138" t="s">
        <v>1339</v>
      </c>
      <c r="C2138" t="s">
        <v>1343</v>
      </c>
    </row>
    <row r="2139" spans="1:3" x14ac:dyDescent="0.2">
      <c r="A2139" t="s">
        <v>1642</v>
      </c>
      <c r="B2139" t="s">
        <v>1339</v>
      </c>
      <c r="C2139" t="s">
        <v>1343</v>
      </c>
    </row>
    <row r="2140" spans="1:3" x14ac:dyDescent="0.2">
      <c r="A2140" t="s">
        <v>1643</v>
      </c>
      <c r="B2140" t="s">
        <v>1339</v>
      </c>
      <c r="C2140" t="s">
        <v>1343</v>
      </c>
    </row>
    <row r="2141" spans="1:3" x14ac:dyDescent="0.2">
      <c r="A2141" t="s">
        <v>5489</v>
      </c>
      <c r="B2141" t="s">
        <v>1339</v>
      </c>
      <c r="C2141" t="s">
        <v>1343</v>
      </c>
    </row>
    <row r="2142" spans="1:3" x14ac:dyDescent="0.2">
      <c r="A2142" t="s">
        <v>6462</v>
      </c>
      <c r="B2142" t="s">
        <v>1339</v>
      </c>
      <c r="C2142" t="s">
        <v>1343</v>
      </c>
    </row>
    <row r="2143" spans="1:3" x14ac:dyDescent="0.2">
      <c r="A2143" t="s">
        <v>5062</v>
      </c>
      <c r="B2143" t="s">
        <v>1339</v>
      </c>
      <c r="C2143" t="s">
        <v>1343</v>
      </c>
    </row>
    <row r="2144" spans="1:3" x14ac:dyDescent="0.2">
      <c r="A2144" t="s">
        <v>1644</v>
      </c>
      <c r="B2144" t="s">
        <v>1339</v>
      </c>
      <c r="C2144" t="s">
        <v>1343</v>
      </c>
    </row>
    <row r="2145" spans="1:3" x14ac:dyDescent="0.2">
      <c r="A2145" t="s">
        <v>1645</v>
      </c>
      <c r="B2145" t="s">
        <v>1339</v>
      </c>
      <c r="C2145" t="s">
        <v>1343</v>
      </c>
    </row>
    <row r="2146" spans="1:3" x14ac:dyDescent="0.2">
      <c r="A2146" t="s">
        <v>1646</v>
      </c>
      <c r="B2146" t="s">
        <v>1339</v>
      </c>
      <c r="C2146" t="s">
        <v>1343</v>
      </c>
    </row>
    <row r="2147" spans="1:3" x14ac:dyDescent="0.2">
      <c r="A2147" t="s">
        <v>1647</v>
      </c>
      <c r="B2147" t="s">
        <v>1339</v>
      </c>
      <c r="C2147" t="s">
        <v>1343</v>
      </c>
    </row>
    <row r="2148" spans="1:3" x14ac:dyDescent="0.2">
      <c r="A2148" t="s">
        <v>4705</v>
      </c>
      <c r="B2148" t="s">
        <v>1339</v>
      </c>
      <c r="C2148" t="s">
        <v>1343</v>
      </c>
    </row>
    <row r="2149" spans="1:3" x14ac:dyDescent="0.2">
      <c r="A2149" t="s">
        <v>5063</v>
      </c>
      <c r="B2149" t="s">
        <v>1339</v>
      </c>
      <c r="C2149" t="s">
        <v>1343</v>
      </c>
    </row>
    <row r="2150" spans="1:3" x14ac:dyDescent="0.2">
      <c r="A2150" t="s">
        <v>1648</v>
      </c>
      <c r="B2150" t="s">
        <v>1339</v>
      </c>
      <c r="C2150" t="s">
        <v>1343</v>
      </c>
    </row>
    <row r="2151" spans="1:3" x14ac:dyDescent="0.2">
      <c r="A2151" t="s">
        <v>1649</v>
      </c>
      <c r="B2151" t="s">
        <v>1339</v>
      </c>
      <c r="C2151" t="s">
        <v>1343</v>
      </c>
    </row>
    <row r="2152" spans="1:3" x14ac:dyDescent="0.2">
      <c r="A2152" t="s">
        <v>1650</v>
      </c>
      <c r="B2152" t="s">
        <v>1339</v>
      </c>
      <c r="C2152" t="s">
        <v>1343</v>
      </c>
    </row>
    <row r="2153" spans="1:3" x14ac:dyDescent="0.2">
      <c r="A2153" t="s">
        <v>1651</v>
      </c>
      <c r="B2153" t="s">
        <v>1339</v>
      </c>
      <c r="C2153" t="s">
        <v>1343</v>
      </c>
    </row>
    <row r="2154" spans="1:3" x14ac:dyDescent="0.2">
      <c r="A2154" t="s">
        <v>5696</v>
      </c>
      <c r="B2154" t="s">
        <v>1339</v>
      </c>
      <c r="C2154" t="s">
        <v>1340</v>
      </c>
    </row>
    <row r="2155" spans="1:3" x14ac:dyDescent="0.2">
      <c r="A2155" t="s">
        <v>1652</v>
      </c>
      <c r="B2155" t="s">
        <v>1339</v>
      </c>
      <c r="C2155" t="s">
        <v>1343</v>
      </c>
    </row>
    <row r="2156" spans="1:3" x14ac:dyDescent="0.2">
      <c r="A2156" t="s">
        <v>1653</v>
      </c>
      <c r="B2156" t="s">
        <v>1339</v>
      </c>
      <c r="C2156" t="s">
        <v>1343</v>
      </c>
    </row>
    <row r="2157" spans="1:3" x14ac:dyDescent="0.2">
      <c r="A2157" t="s">
        <v>1654</v>
      </c>
      <c r="B2157" t="s">
        <v>1339</v>
      </c>
      <c r="C2157" t="s">
        <v>1343</v>
      </c>
    </row>
    <row r="2158" spans="1:3" x14ac:dyDescent="0.2">
      <c r="A2158" t="s">
        <v>1655</v>
      </c>
      <c r="B2158" t="s">
        <v>1339</v>
      </c>
      <c r="C2158" t="s">
        <v>1343</v>
      </c>
    </row>
    <row r="2159" spans="1:3" x14ac:dyDescent="0.2">
      <c r="A2159" t="s">
        <v>1656</v>
      </c>
      <c r="B2159" t="s">
        <v>1339</v>
      </c>
      <c r="C2159" t="s">
        <v>1343</v>
      </c>
    </row>
    <row r="2160" spans="1:3" x14ac:dyDescent="0.2">
      <c r="A2160" t="s">
        <v>1657</v>
      </c>
      <c r="B2160" t="s">
        <v>1339</v>
      </c>
      <c r="C2160" t="s">
        <v>1343</v>
      </c>
    </row>
    <row r="2161" spans="1:3" x14ac:dyDescent="0.2">
      <c r="A2161" t="s">
        <v>1658</v>
      </c>
      <c r="B2161" t="s">
        <v>1339</v>
      </c>
      <c r="C2161" t="s">
        <v>1343</v>
      </c>
    </row>
    <row r="2162" spans="1:3" x14ac:dyDescent="0.2">
      <c r="A2162" t="s">
        <v>1659</v>
      </c>
      <c r="B2162" t="s">
        <v>1339</v>
      </c>
      <c r="C2162" t="s">
        <v>1343</v>
      </c>
    </row>
    <row r="2163" spans="1:3" x14ac:dyDescent="0.2">
      <c r="A2163" t="s">
        <v>1660</v>
      </c>
      <c r="B2163" t="s">
        <v>1339</v>
      </c>
      <c r="C2163" t="s">
        <v>1343</v>
      </c>
    </row>
    <row r="2164" spans="1:3" x14ac:dyDescent="0.2">
      <c r="A2164" t="s">
        <v>1661</v>
      </c>
      <c r="B2164" t="s">
        <v>1339</v>
      </c>
      <c r="C2164" t="s">
        <v>1343</v>
      </c>
    </row>
    <row r="2165" spans="1:3" x14ac:dyDescent="0.2">
      <c r="A2165" t="s">
        <v>1662</v>
      </c>
      <c r="B2165" t="s">
        <v>1339</v>
      </c>
      <c r="C2165" t="s">
        <v>1343</v>
      </c>
    </row>
    <row r="2166" spans="1:3" x14ac:dyDescent="0.2">
      <c r="A2166" t="s">
        <v>1663</v>
      </c>
      <c r="B2166" t="s">
        <v>1339</v>
      </c>
      <c r="C2166" t="s">
        <v>1343</v>
      </c>
    </row>
    <row r="2167" spans="1:3" x14ac:dyDescent="0.2">
      <c r="A2167" t="s">
        <v>6463</v>
      </c>
      <c r="B2167" t="s">
        <v>1339</v>
      </c>
      <c r="C2167" t="s">
        <v>1343</v>
      </c>
    </row>
    <row r="2168" spans="1:3" x14ac:dyDescent="0.2">
      <c r="A2168" t="s">
        <v>1664</v>
      </c>
      <c r="B2168" t="s">
        <v>1339</v>
      </c>
      <c r="C2168" t="s">
        <v>1343</v>
      </c>
    </row>
    <row r="2169" spans="1:3" x14ac:dyDescent="0.2">
      <c r="A2169" t="s">
        <v>5838</v>
      </c>
      <c r="B2169" t="s">
        <v>1339</v>
      </c>
      <c r="C2169" t="s">
        <v>1343</v>
      </c>
    </row>
    <row r="2170" spans="1:3" x14ac:dyDescent="0.2">
      <c r="A2170" t="s">
        <v>5490</v>
      </c>
      <c r="B2170" t="s">
        <v>1339</v>
      </c>
      <c r="C2170" t="s">
        <v>1343</v>
      </c>
    </row>
    <row r="2171" spans="1:3" x14ac:dyDescent="0.2">
      <c r="A2171" t="s">
        <v>5697</v>
      </c>
      <c r="B2171" t="s">
        <v>1339</v>
      </c>
      <c r="C2171" t="s">
        <v>1340</v>
      </c>
    </row>
    <row r="2172" spans="1:3" x14ac:dyDescent="0.2">
      <c r="A2172" t="s">
        <v>5581</v>
      </c>
      <c r="B2172" t="s">
        <v>1339</v>
      </c>
      <c r="C2172" t="s">
        <v>1343</v>
      </c>
    </row>
    <row r="2173" spans="1:3" x14ac:dyDescent="0.2">
      <c r="A2173" t="s">
        <v>4942</v>
      </c>
      <c r="B2173" t="s">
        <v>1339</v>
      </c>
      <c r="C2173" t="s">
        <v>1343</v>
      </c>
    </row>
    <row r="2174" spans="1:3" x14ac:dyDescent="0.2">
      <c r="A2174" t="s">
        <v>1665</v>
      </c>
      <c r="B2174" t="s">
        <v>1339</v>
      </c>
      <c r="C2174" t="s">
        <v>1343</v>
      </c>
    </row>
    <row r="2175" spans="1:3" x14ac:dyDescent="0.2">
      <c r="A2175" t="s">
        <v>1666</v>
      </c>
      <c r="B2175" t="s">
        <v>1339</v>
      </c>
      <c r="C2175" t="s">
        <v>1343</v>
      </c>
    </row>
    <row r="2176" spans="1:3" x14ac:dyDescent="0.2">
      <c r="A2176" t="s">
        <v>1667</v>
      </c>
      <c r="B2176" t="s">
        <v>1339</v>
      </c>
      <c r="C2176" t="s">
        <v>1343</v>
      </c>
    </row>
    <row r="2177" spans="1:3" x14ac:dyDescent="0.2">
      <c r="A2177" t="s">
        <v>1668</v>
      </c>
      <c r="B2177" t="s">
        <v>1339</v>
      </c>
      <c r="C2177" t="s">
        <v>1343</v>
      </c>
    </row>
    <row r="2178" spans="1:3" x14ac:dyDescent="0.2">
      <c r="A2178" t="s">
        <v>1669</v>
      </c>
      <c r="B2178" t="s">
        <v>1339</v>
      </c>
      <c r="C2178" t="s">
        <v>1343</v>
      </c>
    </row>
    <row r="2179" spans="1:3" x14ac:dyDescent="0.2">
      <c r="A2179" t="s">
        <v>1670</v>
      </c>
      <c r="B2179" t="s">
        <v>1339</v>
      </c>
      <c r="C2179" t="s">
        <v>1343</v>
      </c>
    </row>
    <row r="2180" spans="1:3" x14ac:dyDescent="0.2">
      <c r="A2180" t="s">
        <v>1671</v>
      </c>
      <c r="B2180" t="s">
        <v>1339</v>
      </c>
      <c r="C2180" t="s">
        <v>1343</v>
      </c>
    </row>
    <row r="2181" spans="1:3" x14ac:dyDescent="0.2">
      <c r="A2181" t="s">
        <v>1672</v>
      </c>
      <c r="B2181" t="s">
        <v>1339</v>
      </c>
      <c r="C2181" t="s">
        <v>1343</v>
      </c>
    </row>
    <row r="2182" spans="1:3" x14ac:dyDescent="0.2">
      <c r="A2182" t="s">
        <v>1673</v>
      </c>
      <c r="B2182" t="s">
        <v>1339</v>
      </c>
      <c r="C2182" t="s">
        <v>1343</v>
      </c>
    </row>
    <row r="2183" spans="1:3" x14ac:dyDescent="0.2">
      <c r="A2183" t="s">
        <v>5698</v>
      </c>
      <c r="B2183" t="s">
        <v>1339</v>
      </c>
      <c r="C2183" t="s">
        <v>1340</v>
      </c>
    </row>
    <row r="2184" spans="1:3" x14ac:dyDescent="0.2">
      <c r="A2184" t="s">
        <v>4943</v>
      </c>
      <c r="B2184" t="s">
        <v>1339</v>
      </c>
      <c r="C2184" t="s">
        <v>1343</v>
      </c>
    </row>
    <row r="2185" spans="1:3" x14ac:dyDescent="0.2">
      <c r="A2185" t="s">
        <v>1674</v>
      </c>
      <c r="B2185" t="s">
        <v>1339</v>
      </c>
      <c r="C2185" t="s">
        <v>1343</v>
      </c>
    </row>
    <row r="2186" spans="1:3" x14ac:dyDescent="0.2">
      <c r="A2186" t="s">
        <v>1675</v>
      </c>
      <c r="B2186" t="s">
        <v>1339</v>
      </c>
      <c r="C2186" t="s">
        <v>1343</v>
      </c>
    </row>
    <row r="2187" spans="1:3" x14ac:dyDescent="0.2">
      <c r="A2187" t="s">
        <v>1676</v>
      </c>
      <c r="B2187" t="s">
        <v>1339</v>
      </c>
      <c r="C2187" t="s">
        <v>1343</v>
      </c>
    </row>
    <row r="2188" spans="1:3" x14ac:dyDescent="0.2">
      <c r="A2188" t="s">
        <v>1677</v>
      </c>
      <c r="B2188" t="s">
        <v>1339</v>
      </c>
      <c r="C2188" t="s">
        <v>1343</v>
      </c>
    </row>
    <row r="2189" spans="1:3" x14ac:dyDescent="0.2">
      <c r="A2189" t="s">
        <v>1678</v>
      </c>
      <c r="B2189" t="s">
        <v>1339</v>
      </c>
      <c r="C2189" t="s">
        <v>1343</v>
      </c>
    </row>
    <row r="2190" spans="1:3" x14ac:dyDescent="0.2">
      <c r="A2190" t="s">
        <v>1679</v>
      </c>
      <c r="B2190" t="s">
        <v>1339</v>
      </c>
      <c r="C2190" t="s">
        <v>1343</v>
      </c>
    </row>
    <row r="2191" spans="1:3" x14ac:dyDescent="0.2">
      <c r="A2191" t="s">
        <v>6464</v>
      </c>
      <c r="B2191" t="s">
        <v>1339</v>
      </c>
      <c r="C2191" t="s">
        <v>1343</v>
      </c>
    </row>
    <row r="2192" spans="1:3" x14ac:dyDescent="0.2">
      <c r="A2192" t="s">
        <v>5491</v>
      </c>
      <c r="B2192" t="s">
        <v>1339</v>
      </c>
      <c r="C2192" t="s">
        <v>1343</v>
      </c>
    </row>
    <row r="2193" spans="1:3" x14ac:dyDescent="0.2">
      <c r="A2193" t="s">
        <v>4576</v>
      </c>
      <c r="B2193" t="s">
        <v>1339</v>
      </c>
      <c r="C2193" t="s">
        <v>1343</v>
      </c>
    </row>
    <row r="2194" spans="1:3" x14ac:dyDescent="0.2">
      <c r="A2194" t="s">
        <v>6465</v>
      </c>
      <c r="B2194" t="s">
        <v>1339</v>
      </c>
      <c r="C2194" t="s">
        <v>1343</v>
      </c>
    </row>
    <row r="2195" spans="1:3" x14ac:dyDescent="0.2">
      <c r="A2195" t="s">
        <v>1680</v>
      </c>
      <c r="B2195" t="s">
        <v>1339</v>
      </c>
      <c r="C2195" t="s">
        <v>1343</v>
      </c>
    </row>
    <row r="2196" spans="1:3" x14ac:dyDescent="0.2">
      <c r="A2196" t="s">
        <v>5064</v>
      </c>
      <c r="B2196" t="s">
        <v>1339</v>
      </c>
      <c r="C2196" t="s">
        <v>1343</v>
      </c>
    </row>
    <row r="2197" spans="1:3" x14ac:dyDescent="0.2">
      <c r="A2197" t="s">
        <v>5699</v>
      </c>
      <c r="B2197" t="s">
        <v>1339</v>
      </c>
      <c r="C2197" t="s">
        <v>1340</v>
      </c>
    </row>
    <row r="2198" spans="1:3" x14ac:dyDescent="0.2">
      <c r="A2198" t="s">
        <v>1681</v>
      </c>
      <c r="B2198" t="s">
        <v>1339</v>
      </c>
      <c r="C2198" t="s">
        <v>1343</v>
      </c>
    </row>
    <row r="2199" spans="1:3" x14ac:dyDescent="0.2">
      <c r="A2199" t="s">
        <v>4706</v>
      </c>
      <c r="B2199" t="s">
        <v>1339</v>
      </c>
      <c r="C2199" t="s">
        <v>1343</v>
      </c>
    </row>
    <row r="2200" spans="1:3" x14ac:dyDescent="0.2">
      <c r="A2200" t="s">
        <v>1682</v>
      </c>
      <c r="B2200" t="s">
        <v>1339</v>
      </c>
      <c r="C2200" t="s">
        <v>1343</v>
      </c>
    </row>
    <row r="2201" spans="1:3" x14ac:dyDescent="0.2">
      <c r="A2201" t="s">
        <v>1683</v>
      </c>
      <c r="B2201" t="s">
        <v>1339</v>
      </c>
      <c r="C2201" t="s">
        <v>1343</v>
      </c>
    </row>
    <row r="2202" spans="1:3" x14ac:dyDescent="0.2">
      <c r="A2202" t="s">
        <v>5582</v>
      </c>
      <c r="B2202" t="s">
        <v>1339</v>
      </c>
      <c r="C2202" t="s">
        <v>1343</v>
      </c>
    </row>
    <row r="2203" spans="1:3" x14ac:dyDescent="0.2">
      <c r="A2203" t="s">
        <v>5065</v>
      </c>
      <c r="B2203" t="s">
        <v>1339</v>
      </c>
      <c r="C2203" t="s">
        <v>1343</v>
      </c>
    </row>
    <row r="2204" spans="1:3" x14ac:dyDescent="0.2">
      <c r="A2204" t="s">
        <v>1684</v>
      </c>
      <c r="B2204" t="s">
        <v>1339</v>
      </c>
      <c r="C2204" t="s">
        <v>1343</v>
      </c>
    </row>
    <row r="2205" spans="1:3" x14ac:dyDescent="0.2">
      <c r="A2205" t="s">
        <v>1685</v>
      </c>
      <c r="B2205" t="s">
        <v>1339</v>
      </c>
      <c r="C2205" t="s">
        <v>1343</v>
      </c>
    </row>
    <row r="2206" spans="1:3" x14ac:dyDescent="0.2">
      <c r="A2206" t="s">
        <v>1686</v>
      </c>
      <c r="B2206" t="s">
        <v>1339</v>
      </c>
      <c r="C2206" t="s">
        <v>1343</v>
      </c>
    </row>
    <row r="2207" spans="1:3" x14ac:dyDescent="0.2">
      <c r="A2207" t="s">
        <v>1687</v>
      </c>
      <c r="B2207" t="s">
        <v>1339</v>
      </c>
      <c r="C2207" t="s">
        <v>1343</v>
      </c>
    </row>
    <row r="2208" spans="1:3" x14ac:dyDescent="0.2">
      <c r="A2208" t="s">
        <v>6466</v>
      </c>
      <c r="B2208" t="s">
        <v>1339</v>
      </c>
      <c r="C2208" t="s">
        <v>1343</v>
      </c>
    </row>
    <row r="2209" spans="1:3" x14ac:dyDescent="0.2">
      <c r="A2209" t="s">
        <v>5195</v>
      </c>
      <c r="B2209" t="s">
        <v>1339</v>
      </c>
      <c r="C2209" t="s">
        <v>1343</v>
      </c>
    </row>
    <row r="2210" spans="1:3" x14ac:dyDescent="0.2">
      <c r="A2210" t="s">
        <v>1688</v>
      </c>
      <c r="B2210" t="s">
        <v>1339</v>
      </c>
      <c r="C2210" t="s">
        <v>1343</v>
      </c>
    </row>
    <row r="2211" spans="1:3" x14ac:dyDescent="0.2">
      <c r="A2211" t="s">
        <v>1689</v>
      </c>
      <c r="B2211" t="s">
        <v>1339</v>
      </c>
      <c r="C2211" t="s">
        <v>1343</v>
      </c>
    </row>
    <row r="2212" spans="1:3" x14ac:dyDescent="0.2">
      <c r="A2212" t="s">
        <v>5583</v>
      </c>
      <c r="B2212" t="s">
        <v>1339</v>
      </c>
      <c r="C2212" t="s">
        <v>1343</v>
      </c>
    </row>
    <row r="2213" spans="1:3" x14ac:dyDescent="0.2">
      <c r="A2213" t="s">
        <v>1690</v>
      </c>
      <c r="B2213" t="s">
        <v>1339</v>
      </c>
      <c r="C2213" t="s">
        <v>1343</v>
      </c>
    </row>
    <row r="2214" spans="1:3" x14ac:dyDescent="0.2">
      <c r="A2214" t="s">
        <v>1691</v>
      </c>
      <c r="B2214" t="s">
        <v>1339</v>
      </c>
      <c r="C2214" t="s">
        <v>1343</v>
      </c>
    </row>
    <row r="2215" spans="1:3" x14ac:dyDescent="0.2">
      <c r="A2215" t="s">
        <v>1692</v>
      </c>
      <c r="B2215" t="s">
        <v>1339</v>
      </c>
      <c r="C2215" t="s">
        <v>1343</v>
      </c>
    </row>
    <row r="2216" spans="1:3" x14ac:dyDescent="0.2">
      <c r="A2216" t="s">
        <v>1693</v>
      </c>
      <c r="B2216" t="s">
        <v>1339</v>
      </c>
      <c r="C2216" t="s">
        <v>1343</v>
      </c>
    </row>
    <row r="2217" spans="1:3" x14ac:dyDescent="0.2">
      <c r="A2217" t="s">
        <v>1694</v>
      </c>
      <c r="B2217" t="s">
        <v>1339</v>
      </c>
      <c r="C2217" t="s">
        <v>1343</v>
      </c>
    </row>
    <row r="2218" spans="1:3" x14ac:dyDescent="0.2">
      <c r="A2218" t="s">
        <v>4577</v>
      </c>
      <c r="B2218" t="s">
        <v>1339</v>
      </c>
      <c r="C2218" t="s">
        <v>1343</v>
      </c>
    </row>
    <row r="2219" spans="1:3" x14ac:dyDescent="0.2">
      <c r="A2219" t="s">
        <v>5196</v>
      </c>
      <c r="B2219" t="s">
        <v>1339</v>
      </c>
      <c r="C2219" t="s">
        <v>1343</v>
      </c>
    </row>
    <row r="2220" spans="1:3" x14ac:dyDescent="0.2">
      <c r="A2220" t="s">
        <v>4707</v>
      </c>
      <c r="B2220" t="s">
        <v>1339</v>
      </c>
      <c r="C2220" t="s">
        <v>1343</v>
      </c>
    </row>
    <row r="2221" spans="1:3" x14ac:dyDescent="0.2">
      <c r="A2221" t="s">
        <v>1695</v>
      </c>
      <c r="B2221" t="s">
        <v>1339</v>
      </c>
      <c r="C2221" t="s">
        <v>1343</v>
      </c>
    </row>
    <row r="2222" spans="1:3" x14ac:dyDescent="0.2">
      <c r="A2222" t="s">
        <v>1696</v>
      </c>
      <c r="B2222" t="s">
        <v>1339</v>
      </c>
      <c r="C2222" t="s">
        <v>1343</v>
      </c>
    </row>
    <row r="2223" spans="1:3" x14ac:dyDescent="0.2">
      <c r="A2223" t="s">
        <v>5700</v>
      </c>
      <c r="B2223" t="s">
        <v>1339</v>
      </c>
      <c r="C2223" t="s">
        <v>1340</v>
      </c>
    </row>
    <row r="2224" spans="1:3" x14ac:dyDescent="0.2">
      <c r="A2224" t="s">
        <v>1697</v>
      </c>
      <c r="B2224" t="s">
        <v>1339</v>
      </c>
      <c r="C2224" t="s">
        <v>1343</v>
      </c>
    </row>
    <row r="2225" spans="1:3" x14ac:dyDescent="0.2">
      <c r="A2225" t="s">
        <v>1698</v>
      </c>
      <c r="B2225" t="s">
        <v>1339</v>
      </c>
      <c r="C2225" t="s">
        <v>1343</v>
      </c>
    </row>
    <row r="2226" spans="1:3" x14ac:dyDescent="0.2">
      <c r="A2226" t="s">
        <v>1699</v>
      </c>
      <c r="B2226" t="s">
        <v>1339</v>
      </c>
      <c r="C2226" t="s">
        <v>1343</v>
      </c>
    </row>
    <row r="2227" spans="1:3" x14ac:dyDescent="0.2">
      <c r="A2227" t="s">
        <v>1700</v>
      </c>
      <c r="B2227" t="s">
        <v>1339</v>
      </c>
      <c r="C2227" t="s">
        <v>1343</v>
      </c>
    </row>
    <row r="2228" spans="1:3" x14ac:dyDescent="0.2">
      <c r="A2228" t="s">
        <v>1701</v>
      </c>
      <c r="B2228" t="s">
        <v>1339</v>
      </c>
      <c r="C2228" t="s">
        <v>1343</v>
      </c>
    </row>
    <row r="2229" spans="1:3" x14ac:dyDescent="0.2">
      <c r="A2229" t="s">
        <v>1702</v>
      </c>
      <c r="B2229" t="s">
        <v>1339</v>
      </c>
      <c r="C2229" t="s">
        <v>1343</v>
      </c>
    </row>
    <row r="2230" spans="1:3" x14ac:dyDescent="0.2">
      <c r="A2230" t="s">
        <v>1703</v>
      </c>
      <c r="B2230" t="s">
        <v>1339</v>
      </c>
      <c r="C2230" t="s">
        <v>1343</v>
      </c>
    </row>
    <row r="2231" spans="1:3" x14ac:dyDescent="0.2">
      <c r="A2231" t="s">
        <v>1704</v>
      </c>
      <c r="B2231" t="s">
        <v>1339</v>
      </c>
      <c r="C2231" t="s">
        <v>1343</v>
      </c>
    </row>
    <row r="2232" spans="1:3" x14ac:dyDescent="0.2">
      <c r="A2232" t="s">
        <v>1705</v>
      </c>
      <c r="B2232" t="s">
        <v>1339</v>
      </c>
      <c r="C2232" t="s">
        <v>1343</v>
      </c>
    </row>
    <row r="2233" spans="1:3" x14ac:dyDescent="0.2">
      <c r="A2233" t="s">
        <v>4708</v>
      </c>
      <c r="B2233" t="s">
        <v>1339</v>
      </c>
      <c r="C2233" t="s">
        <v>1343</v>
      </c>
    </row>
    <row r="2234" spans="1:3" x14ac:dyDescent="0.2">
      <c r="A2234" t="s">
        <v>1706</v>
      </c>
      <c r="B2234" t="s">
        <v>1339</v>
      </c>
      <c r="C2234" t="s">
        <v>1343</v>
      </c>
    </row>
    <row r="2235" spans="1:3" x14ac:dyDescent="0.2">
      <c r="A2235" t="s">
        <v>1707</v>
      </c>
      <c r="B2235" t="s">
        <v>1339</v>
      </c>
      <c r="C2235" t="s">
        <v>1343</v>
      </c>
    </row>
    <row r="2236" spans="1:3" x14ac:dyDescent="0.2">
      <c r="A2236" t="s">
        <v>1708</v>
      </c>
      <c r="B2236" t="s">
        <v>1339</v>
      </c>
      <c r="C2236" t="s">
        <v>1343</v>
      </c>
    </row>
    <row r="2237" spans="1:3" x14ac:dyDescent="0.2">
      <c r="A2237" t="s">
        <v>1709</v>
      </c>
      <c r="B2237" t="s">
        <v>1339</v>
      </c>
      <c r="C2237" t="s">
        <v>1343</v>
      </c>
    </row>
    <row r="2238" spans="1:3" x14ac:dyDescent="0.2">
      <c r="A2238" t="s">
        <v>1710</v>
      </c>
      <c r="B2238" t="s">
        <v>1339</v>
      </c>
      <c r="C2238" t="s">
        <v>1343</v>
      </c>
    </row>
    <row r="2239" spans="1:3" x14ac:dyDescent="0.2">
      <c r="A2239" t="s">
        <v>5701</v>
      </c>
      <c r="B2239" t="s">
        <v>1339</v>
      </c>
      <c r="C2239" t="s">
        <v>1340</v>
      </c>
    </row>
    <row r="2240" spans="1:3" x14ac:dyDescent="0.2">
      <c r="A2240" t="s">
        <v>1711</v>
      </c>
      <c r="B2240" t="s">
        <v>1339</v>
      </c>
      <c r="C2240" t="s">
        <v>1343</v>
      </c>
    </row>
    <row r="2241" spans="1:3" x14ac:dyDescent="0.2">
      <c r="A2241" t="s">
        <v>1712</v>
      </c>
      <c r="B2241" t="s">
        <v>1339</v>
      </c>
      <c r="C2241" t="s">
        <v>1343</v>
      </c>
    </row>
    <row r="2242" spans="1:3" x14ac:dyDescent="0.2">
      <c r="A2242" t="s">
        <v>1713</v>
      </c>
      <c r="B2242" t="s">
        <v>1339</v>
      </c>
      <c r="C2242" t="s">
        <v>1343</v>
      </c>
    </row>
    <row r="2243" spans="1:3" x14ac:dyDescent="0.2">
      <c r="A2243" t="s">
        <v>1714</v>
      </c>
      <c r="B2243" t="s">
        <v>1339</v>
      </c>
      <c r="C2243" t="s">
        <v>1343</v>
      </c>
    </row>
    <row r="2244" spans="1:3" x14ac:dyDescent="0.2">
      <c r="A2244" t="s">
        <v>1715</v>
      </c>
      <c r="B2244" t="s">
        <v>1339</v>
      </c>
      <c r="C2244" t="s">
        <v>1343</v>
      </c>
    </row>
    <row r="2245" spans="1:3" x14ac:dyDescent="0.2">
      <c r="A2245" t="s">
        <v>1716</v>
      </c>
      <c r="B2245" t="s">
        <v>1339</v>
      </c>
      <c r="C2245" t="s">
        <v>1343</v>
      </c>
    </row>
    <row r="2246" spans="1:3" x14ac:dyDescent="0.2">
      <c r="A2246" t="s">
        <v>1717</v>
      </c>
      <c r="B2246" t="s">
        <v>1339</v>
      </c>
      <c r="C2246" t="s">
        <v>1343</v>
      </c>
    </row>
    <row r="2247" spans="1:3" x14ac:dyDescent="0.2">
      <c r="A2247" t="s">
        <v>1718</v>
      </c>
      <c r="B2247" t="s">
        <v>1339</v>
      </c>
      <c r="C2247" t="s">
        <v>1343</v>
      </c>
    </row>
    <row r="2248" spans="1:3" x14ac:dyDescent="0.2">
      <c r="A2248" t="s">
        <v>5584</v>
      </c>
      <c r="B2248" t="s">
        <v>1339</v>
      </c>
      <c r="C2248" t="s">
        <v>1343</v>
      </c>
    </row>
    <row r="2249" spans="1:3" x14ac:dyDescent="0.2">
      <c r="A2249" t="s">
        <v>1719</v>
      </c>
      <c r="B2249" t="s">
        <v>1339</v>
      </c>
      <c r="C2249" t="s">
        <v>1343</v>
      </c>
    </row>
    <row r="2250" spans="1:3" x14ac:dyDescent="0.2">
      <c r="A2250" t="s">
        <v>1720</v>
      </c>
      <c r="B2250" t="s">
        <v>1339</v>
      </c>
      <c r="C2250" t="s">
        <v>1343</v>
      </c>
    </row>
    <row r="2251" spans="1:3" x14ac:dyDescent="0.2">
      <c r="A2251" t="s">
        <v>1721</v>
      </c>
      <c r="B2251" t="s">
        <v>1339</v>
      </c>
      <c r="C2251" t="s">
        <v>1343</v>
      </c>
    </row>
    <row r="2252" spans="1:3" x14ac:dyDescent="0.2">
      <c r="A2252" t="s">
        <v>1722</v>
      </c>
      <c r="B2252" t="s">
        <v>1339</v>
      </c>
      <c r="C2252" t="s">
        <v>1343</v>
      </c>
    </row>
    <row r="2253" spans="1:3" x14ac:dyDescent="0.2">
      <c r="A2253" t="s">
        <v>1723</v>
      </c>
      <c r="B2253" t="s">
        <v>1339</v>
      </c>
      <c r="C2253" t="s">
        <v>1343</v>
      </c>
    </row>
    <row r="2254" spans="1:3" x14ac:dyDescent="0.2">
      <c r="A2254" t="s">
        <v>1724</v>
      </c>
      <c r="B2254" t="s">
        <v>1339</v>
      </c>
      <c r="C2254" t="s">
        <v>1343</v>
      </c>
    </row>
    <row r="2255" spans="1:3" x14ac:dyDescent="0.2">
      <c r="A2255" t="s">
        <v>4709</v>
      </c>
      <c r="B2255" t="s">
        <v>1339</v>
      </c>
      <c r="C2255" t="s">
        <v>1343</v>
      </c>
    </row>
    <row r="2256" spans="1:3" x14ac:dyDescent="0.2">
      <c r="A2256" t="s">
        <v>1725</v>
      </c>
      <c r="B2256" t="s">
        <v>1339</v>
      </c>
      <c r="C2256" t="s">
        <v>1343</v>
      </c>
    </row>
    <row r="2257" spans="1:3" x14ac:dyDescent="0.2">
      <c r="A2257" t="s">
        <v>5066</v>
      </c>
      <c r="B2257" t="s">
        <v>1339</v>
      </c>
      <c r="C2257" t="s">
        <v>1343</v>
      </c>
    </row>
    <row r="2258" spans="1:3" x14ac:dyDescent="0.2">
      <c r="A2258" t="s">
        <v>1726</v>
      </c>
      <c r="B2258" t="s">
        <v>1339</v>
      </c>
      <c r="C2258" t="s">
        <v>1343</v>
      </c>
    </row>
    <row r="2259" spans="1:3" x14ac:dyDescent="0.2">
      <c r="A2259" t="s">
        <v>1727</v>
      </c>
      <c r="B2259" t="s">
        <v>1339</v>
      </c>
      <c r="C2259" t="s">
        <v>1343</v>
      </c>
    </row>
    <row r="2260" spans="1:3" x14ac:dyDescent="0.2">
      <c r="A2260" t="s">
        <v>1728</v>
      </c>
      <c r="B2260" t="s">
        <v>1339</v>
      </c>
      <c r="C2260" t="s">
        <v>1343</v>
      </c>
    </row>
    <row r="2261" spans="1:3" x14ac:dyDescent="0.2">
      <c r="A2261" t="s">
        <v>1729</v>
      </c>
      <c r="B2261" t="s">
        <v>1339</v>
      </c>
      <c r="C2261" t="s">
        <v>1343</v>
      </c>
    </row>
    <row r="2262" spans="1:3" x14ac:dyDescent="0.2">
      <c r="A2262" t="s">
        <v>1730</v>
      </c>
      <c r="B2262" t="s">
        <v>1339</v>
      </c>
      <c r="C2262" t="s">
        <v>1343</v>
      </c>
    </row>
    <row r="2263" spans="1:3" x14ac:dyDescent="0.2">
      <c r="A2263" t="s">
        <v>1731</v>
      </c>
      <c r="B2263" t="s">
        <v>1339</v>
      </c>
      <c r="C2263" t="s">
        <v>1343</v>
      </c>
    </row>
    <row r="2264" spans="1:3" x14ac:dyDescent="0.2">
      <c r="A2264" t="s">
        <v>1732</v>
      </c>
      <c r="B2264" t="s">
        <v>1339</v>
      </c>
      <c r="C2264" t="s">
        <v>1343</v>
      </c>
    </row>
    <row r="2265" spans="1:3" x14ac:dyDescent="0.2">
      <c r="A2265" t="s">
        <v>1733</v>
      </c>
      <c r="B2265" t="s">
        <v>1339</v>
      </c>
      <c r="C2265" t="s">
        <v>1343</v>
      </c>
    </row>
    <row r="2266" spans="1:3" x14ac:dyDescent="0.2">
      <c r="A2266" t="s">
        <v>1734</v>
      </c>
      <c r="B2266" t="s">
        <v>1339</v>
      </c>
      <c r="C2266" t="s">
        <v>1343</v>
      </c>
    </row>
    <row r="2267" spans="1:3" x14ac:dyDescent="0.2">
      <c r="A2267" t="s">
        <v>1735</v>
      </c>
      <c r="B2267" t="s">
        <v>1339</v>
      </c>
      <c r="C2267" t="s">
        <v>1343</v>
      </c>
    </row>
    <row r="2268" spans="1:3" x14ac:dyDescent="0.2">
      <c r="A2268" t="s">
        <v>5067</v>
      </c>
      <c r="B2268" t="s">
        <v>1339</v>
      </c>
      <c r="C2268" t="s">
        <v>1343</v>
      </c>
    </row>
    <row r="2269" spans="1:3" x14ac:dyDescent="0.2">
      <c r="A2269" t="s">
        <v>1736</v>
      </c>
      <c r="B2269" t="s">
        <v>1339</v>
      </c>
      <c r="C2269" t="s">
        <v>1343</v>
      </c>
    </row>
    <row r="2270" spans="1:3" x14ac:dyDescent="0.2">
      <c r="A2270" t="s">
        <v>1737</v>
      </c>
      <c r="B2270" t="s">
        <v>1339</v>
      </c>
      <c r="C2270" t="s">
        <v>1343</v>
      </c>
    </row>
    <row r="2271" spans="1:3" x14ac:dyDescent="0.2">
      <c r="A2271" t="s">
        <v>1738</v>
      </c>
      <c r="B2271" t="s">
        <v>1339</v>
      </c>
      <c r="C2271" t="s">
        <v>1343</v>
      </c>
    </row>
    <row r="2272" spans="1:3" x14ac:dyDescent="0.2">
      <c r="A2272" t="s">
        <v>1739</v>
      </c>
      <c r="B2272" t="s">
        <v>1339</v>
      </c>
      <c r="C2272" t="s">
        <v>1343</v>
      </c>
    </row>
    <row r="2273" spans="1:3" x14ac:dyDescent="0.2">
      <c r="A2273" t="s">
        <v>1740</v>
      </c>
      <c r="B2273" t="s">
        <v>1339</v>
      </c>
      <c r="C2273" t="s">
        <v>1343</v>
      </c>
    </row>
    <row r="2274" spans="1:3" x14ac:dyDescent="0.2">
      <c r="A2274" t="s">
        <v>5585</v>
      </c>
      <c r="B2274" t="s">
        <v>1339</v>
      </c>
      <c r="C2274" t="s">
        <v>1343</v>
      </c>
    </row>
    <row r="2275" spans="1:3" x14ac:dyDescent="0.2">
      <c r="A2275" t="s">
        <v>1741</v>
      </c>
      <c r="B2275" t="s">
        <v>1339</v>
      </c>
      <c r="C2275" t="s">
        <v>1343</v>
      </c>
    </row>
    <row r="2276" spans="1:3" x14ac:dyDescent="0.2">
      <c r="A2276" t="s">
        <v>1742</v>
      </c>
      <c r="B2276" t="s">
        <v>1339</v>
      </c>
      <c r="C2276" t="s">
        <v>1343</v>
      </c>
    </row>
    <row r="2277" spans="1:3" x14ac:dyDescent="0.2">
      <c r="A2277" t="s">
        <v>1743</v>
      </c>
      <c r="B2277" t="s">
        <v>1339</v>
      </c>
      <c r="C2277" t="s">
        <v>1343</v>
      </c>
    </row>
    <row r="2278" spans="1:3" x14ac:dyDescent="0.2">
      <c r="A2278" t="s">
        <v>1744</v>
      </c>
      <c r="B2278" t="s">
        <v>1339</v>
      </c>
      <c r="C2278" t="s">
        <v>1343</v>
      </c>
    </row>
    <row r="2279" spans="1:3" x14ac:dyDescent="0.2">
      <c r="A2279" t="s">
        <v>1745</v>
      </c>
      <c r="B2279" t="s">
        <v>1339</v>
      </c>
      <c r="C2279" t="s">
        <v>1343</v>
      </c>
    </row>
    <row r="2280" spans="1:3" x14ac:dyDescent="0.2">
      <c r="A2280" t="s">
        <v>1746</v>
      </c>
      <c r="B2280" t="s">
        <v>1339</v>
      </c>
      <c r="C2280" t="s">
        <v>1343</v>
      </c>
    </row>
    <row r="2281" spans="1:3" x14ac:dyDescent="0.2">
      <c r="A2281" t="s">
        <v>5702</v>
      </c>
      <c r="B2281" t="s">
        <v>1339</v>
      </c>
      <c r="C2281" t="s">
        <v>1340</v>
      </c>
    </row>
    <row r="2282" spans="1:3" x14ac:dyDescent="0.2">
      <c r="A2282" t="s">
        <v>1747</v>
      </c>
      <c r="B2282" t="s">
        <v>1339</v>
      </c>
      <c r="C2282" t="s">
        <v>1343</v>
      </c>
    </row>
    <row r="2283" spans="1:3" x14ac:dyDescent="0.2">
      <c r="A2283" t="s">
        <v>1748</v>
      </c>
      <c r="B2283" t="s">
        <v>1339</v>
      </c>
      <c r="C2283" t="s">
        <v>1343</v>
      </c>
    </row>
    <row r="2284" spans="1:3" x14ac:dyDescent="0.2">
      <c r="A2284" t="s">
        <v>1749</v>
      </c>
      <c r="B2284" t="s">
        <v>1339</v>
      </c>
      <c r="C2284" t="s">
        <v>1343</v>
      </c>
    </row>
    <row r="2285" spans="1:3" x14ac:dyDescent="0.2">
      <c r="A2285" t="s">
        <v>1750</v>
      </c>
      <c r="B2285" t="s">
        <v>1339</v>
      </c>
      <c r="C2285" t="s">
        <v>1343</v>
      </c>
    </row>
    <row r="2286" spans="1:3" x14ac:dyDescent="0.2">
      <c r="A2286" t="s">
        <v>1751</v>
      </c>
      <c r="B2286" t="s">
        <v>1339</v>
      </c>
      <c r="C2286" t="s">
        <v>1343</v>
      </c>
    </row>
    <row r="2287" spans="1:3" x14ac:dyDescent="0.2">
      <c r="A2287" t="s">
        <v>1752</v>
      </c>
      <c r="B2287" t="s">
        <v>1339</v>
      </c>
      <c r="C2287" t="s">
        <v>1343</v>
      </c>
    </row>
    <row r="2288" spans="1:3" x14ac:dyDescent="0.2">
      <c r="A2288" t="s">
        <v>4578</v>
      </c>
      <c r="B2288" t="s">
        <v>1339</v>
      </c>
      <c r="C2288" t="s">
        <v>1343</v>
      </c>
    </row>
    <row r="2289" spans="1:3" x14ac:dyDescent="0.2">
      <c r="A2289" t="s">
        <v>1753</v>
      </c>
      <c r="B2289" t="s">
        <v>1339</v>
      </c>
      <c r="C2289" t="s">
        <v>1343</v>
      </c>
    </row>
    <row r="2290" spans="1:3" x14ac:dyDescent="0.2">
      <c r="A2290" t="s">
        <v>1754</v>
      </c>
      <c r="B2290" t="s">
        <v>1339</v>
      </c>
      <c r="C2290" t="s">
        <v>1343</v>
      </c>
    </row>
    <row r="2291" spans="1:3" x14ac:dyDescent="0.2">
      <c r="A2291" t="s">
        <v>1755</v>
      </c>
      <c r="B2291" t="s">
        <v>1339</v>
      </c>
      <c r="C2291" t="s">
        <v>1343</v>
      </c>
    </row>
    <row r="2292" spans="1:3" x14ac:dyDescent="0.2">
      <c r="A2292" t="s">
        <v>1756</v>
      </c>
      <c r="B2292" t="s">
        <v>1339</v>
      </c>
      <c r="C2292" t="s">
        <v>1343</v>
      </c>
    </row>
    <row r="2293" spans="1:3" x14ac:dyDescent="0.2">
      <c r="A2293" t="s">
        <v>1757</v>
      </c>
      <c r="B2293" t="s">
        <v>1339</v>
      </c>
      <c r="C2293" t="s">
        <v>1343</v>
      </c>
    </row>
    <row r="2294" spans="1:3" x14ac:dyDescent="0.2">
      <c r="A2294" t="s">
        <v>4579</v>
      </c>
      <c r="B2294" t="s">
        <v>1339</v>
      </c>
      <c r="C2294" t="s">
        <v>1343</v>
      </c>
    </row>
    <row r="2295" spans="1:3" x14ac:dyDescent="0.2">
      <c r="A2295" t="s">
        <v>1758</v>
      </c>
      <c r="B2295" t="s">
        <v>1339</v>
      </c>
      <c r="C2295" t="s">
        <v>1343</v>
      </c>
    </row>
    <row r="2296" spans="1:3" x14ac:dyDescent="0.2">
      <c r="A2296" t="s">
        <v>5068</v>
      </c>
      <c r="B2296" t="s">
        <v>1339</v>
      </c>
      <c r="C2296" t="s">
        <v>1343</v>
      </c>
    </row>
    <row r="2297" spans="1:3" x14ac:dyDescent="0.2">
      <c r="A2297" t="s">
        <v>5586</v>
      </c>
      <c r="B2297" t="s">
        <v>1339</v>
      </c>
      <c r="C2297" t="s">
        <v>1343</v>
      </c>
    </row>
    <row r="2298" spans="1:3" x14ac:dyDescent="0.2">
      <c r="A2298" t="s">
        <v>1759</v>
      </c>
      <c r="B2298" t="s">
        <v>1339</v>
      </c>
      <c r="C2298" t="s">
        <v>1343</v>
      </c>
    </row>
    <row r="2299" spans="1:3" x14ac:dyDescent="0.2">
      <c r="A2299" t="s">
        <v>5197</v>
      </c>
      <c r="B2299" t="s">
        <v>1339</v>
      </c>
      <c r="C2299" t="s">
        <v>1343</v>
      </c>
    </row>
    <row r="2300" spans="1:3" x14ac:dyDescent="0.2">
      <c r="A2300" t="s">
        <v>1760</v>
      </c>
      <c r="B2300" t="s">
        <v>1339</v>
      </c>
      <c r="C2300" t="s">
        <v>1343</v>
      </c>
    </row>
    <row r="2301" spans="1:3" x14ac:dyDescent="0.2">
      <c r="A2301" t="s">
        <v>1761</v>
      </c>
      <c r="B2301" t="s">
        <v>1339</v>
      </c>
      <c r="C2301" t="s">
        <v>1343</v>
      </c>
    </row>
    <row r="2302" spans="1:3" x14ac:dyDescent="0.2">
      <c r="A2302" t="s">
        <v>1762</v>
      </c>
      <c r="B2302" t="s">
        <v>1339</v>
      </c>
      <c r="C2302" t="s">
        <v>1343</v>
      </c>
    </row>
    <row r="2303" spans="1:3" x14ac:dyDescent="0.2">
      <c r="A2303" t="s">
        <v>5069</v>
      </c>
      <c r="B2303" t="s">
        <v>1339</v>
      </c>
      <c r="C2303" t="s">
        <v>1343</v>
      </c>
    </row>
    <row r="2304" spans="1:3" x14ac:dyDescent="0.2">
      <c r="A2304" t="s">
        <v>6467</v>
      </c>
      <c r="B2304" t="s">
        <v>1339</v>
      </c>
      <c r="C2304" t="s">
        <v>1343</v>
      </c>
    </row>
    <row r="2305" spans="1:3" x14ac:dyDescent="0.2">
      <c r="A2305" t="s">
        <v>1763</v>
      </c>
      <c r="B2305" t="s">
        <v>1339</v>
      </c>
      <c r="C2305" t="s">
        <v>1343</v>
      </c>
    </row>
    <row r="2306" spans="1:3" x14ac:dyDescent="0.2">
      <c r="A2306" t="s">
        <v>1764</v>
      </c>
      <c r="B2306" t="s">
        <v>1339</v>
      </c>
      <c r="C2306" t="s">
        <v>1343</v>
      </c>
    </row>
    <row r="2307" spans="1:3" x14ac:dyDescent="0.2">
      <c r="A2307" t="s">
        <v>1765</v>
      </c>
      <c r="B2307" t="s">
        <v>1339</v>
      </c>
      <c r="C2307" t="s">
        <v>1343</v>
      </c>
    </row>
    <row r="2308" spans="1:3" x14ac:dyDescent="0.2">
      <c r="A2308" t="s">
        <v>1766</v>
      </c>
      <c r="B2308" t="s">
        <v>1339</v>
      </c>
      <c r="C2308" t="s">
        <v>1343</v>
      </c>
    </row>
    <row r="2309" spans="1:3" x14ac:dyDescent="0.2">
      <c r="A2309" t="s">
        <v>1767</v>
      </c>
      <c r="B2309" t="s">
        <v>1339</v>
      </c>
      <c r="C2309" t="s">
        <v>1343</v>
      </c>
    </row>
    <row r="2310" spans="1:3" x14ac:dyDescent="0.2">
      <c r="A2310" t="s">
        <v>1768</v>
      </c>
      <c r="B2310" t="s">
        <v>1339</v>
      </c>
      <c r="C2310" t="s">
        <v>1343</v>
      </c>
    </row>
    <row r="2311" spans="1:3" x14ac:dyDescent="0.2">
      <c r="A2311" t="s">
        <v>5070</v>
      </c>
      <c r="B2311" t="s">
        <v>1339</v>
      </c>
      <c r="C2311" t="s">
        <v>1343</v>
      </c>
    </row>
    <row r="2312" spans="1:3" x14ac:dyDescent="0.2">
      <c r="A2312" t="s">
        <v>1769</v>
      </c>
      <c r="B2312" t="s">
        <v>1339</v>
      </c>
      <c r="C2312" t="s">
        <v>1343</v>
      </c>
    </row>
    <row r="2313" spans="1:3" x14ac:dyDescent="0.2">
      <c r="A2313" t="s">
        <v>1770</v>
      </c>
      <c r="B2313" t="s">
        <v>1339</v>
      </c>
      <c r="C2313" t="s">
        <v>1343</v>
      </c>
    </row>
    <row r="2314" spans="1:3" x14ac:dyDescent="0.2">
      <c r="A2314" t="s">
        <v>1771</v>
      </c>
      <c r="B2314" t="s">
        <v>1339</v>
      </c>
      <c r="C2314" t="s">
        <v>1343</v>
      </c>
    </row>
    <row r="2315" spans="1:3" x14ac:dyDescent="0.2">
      <c r="A2315" t="s">
        <v>1772</v>
      </c>
      <c r="B2315" t="s">
        <v>1339</v>
      </c>
      <c r="C2315" t="s">
        <v>1343</v>
      </c>
    </row>
    <row r="2316" spans="1:3" x14ac:dyDescent="0.2">
      <c r="A2316" t="s">
        <v>1773</v>
      </c>
      <c r="B2316" t="s">
        <v>1339</v>
      </c>
      <c r="C2316" t="s">
        <v>1343</v>
      </c>
    </row>
    <row r="2317" spans="1:3" x14ac:dyDescent="0.2">
      <c r="A2317" t="s">
        <v>1774</v>
      </c>
      <c r="B2317" t="s">
        <v>1339</v>
      </c>
      <c r="C2317" t="s">
        <v>1343</v>
      </c>
    </row>
    <row r="2318" spans="1:3" x14ac:dyDescent="0.2">
      <c r="A2318" t="s">
        <v>6468</v>
      </c>
      <c r="B2318" t="s">
        <v>1339</v>
      </c>
      <c r="C2318" t="s">
        <v>1343</v>
      </c>
    </row>
    <row r="2319" spans="1:3" x14ac:dyDescent="0.2">
      <c r="A2319" t="s">
        <v>1775</v>
      </c>
      <c r="B2319" t="s">
        <v>1339</v>
      </c>
      <c r="C2319" t="s">
        <v>1343</v>
      </c>
    </row>
    <row r="2320" spans="1:3" x14ac:dyDescent="0.2">
      <c r="A2320" t="s">
        <v>5587</v>
      </c>
      <c r="B2320" t="s">
        <v>1339</v>
      </c>
      <c r="C2320" t="s">
        <v>1343</v>
      </c>
    </row>
    <row r="2321" spans="1:3" x14ac:dyDescent="0.2">
      <c r="A2321" t="s">
        <v>1776</v>
      </c>
      <c r="B2321" t="s">
        <v>1339</v>
      </c>
      <c r="C2321" t="s">
        <v>1343</v>
      </c>
    </row>
    <row r="2322" spans="1:3" x14ac:dyDescent="0.2">
      <c r="A2322" t="s">
        <v>4944</v>
      </c>
      <c r="B2322" t="s">
        <v>1339</v>
      </c>
      <c r="C2322" t="s">
        <v>1343</v>
      </c>
    </row>
    <row r="2323" spans="1:3" x14ac:dyDescent="0.2">
      <c r="A2323" t="s">
        <v>1777</v>
      </c>
      <c r="B2323" t="s">
        <v>1339</v>
      </c>
      <c r="C2323" t="s">
        <v>1343</v>
      </c>
    </row>
    <row r="2324" spans="1:3" x14ac:dyDescent="0.2">
      <c r="A2324" t="s">
        <v>1778</v>
      </c>
      <c r="B2324" t="s">
        <v>1339</v>
      </c>
      <c r="C2324" t="s">
        <v>1343</v>
      </c>
    </row>
    <row r="2325" spans="1:3" x14ac:dyDescent="0.2">
      <c r="A2325" t="s">
        <v>1779</v>
      </c>
      <c r="B2325" t="s">
        <v>1339</v>
      </c>
      <c r="C2325" t="s">
        <v>1343</v>
      </c>
    </row>
    <row r="2326" spans="1:3" x14ac:dyDescent="0.2">
      <c r="A2326" t="s">
        <v>6469</v>
      </c>
      <c r="B2326" t="s">
        <v>1339</v>
      </c>
      <c r="C2326" t="s">
        <v>1343</v>
      </c>
    </row>
    <row r="2327" spans="1:3" x14ac:dyDescent="0.2">
      <c r="A2327" t="s">
        <v>1780</v>
      </c>
      <c r="B2327" t="s">
        <v>1339</v>
      </c>
      <c r="C2327" t="s">
        <v>1343</v>
      </c>
    </row>
    <row r="2328" spans="1:3" x14ac:dyDescent="0.2">
      <c r="A2328" t="s">
        <v>5839</v>
      </c>
      <c r="B2328" t="s">
        <v>1339</v>
      </c>
      <c r="C2328" t="s">
        <v>1343</v>
      </c>
    </row>
    <row r="2329" spans="1:3" x14ac:dyDescent="0.2">
      <c r="A2329" t="s">
        <v>1781</v>
      </c>
      <c r="B2329" t="s">
        <v>1339</v>
      </c>
      <c r="C2329" t="s">
        <v>1343</v>
      </c>
    </row>
    <row r="2330" spans="1:3" x14ac:dyDescent="0.2">
      <c r="A2330" t="s">
        <v>1782</v>
      </c>
      <c r="B2330" t="s">
        <v>1339</v>
      </c>
      <c r="C2330" t="s">
        <v>1343</v>
      </c>
    </row>
    <row r="2331" spans="1:3" x14ac:dyDescent="0.2">
      <c r="A2331" t="s">
        <v>1783</v>
      </c>
      <c r="B2331" t="s">
        <v>1339</v>
      </c>
      <c r="C2331" t="s">
        <v>1343</v>
      </c>
    </row>
    <row r="2332" spans="1:3" x14ac:dyDescent="0.2">
      <c r="A2332" t="s">
        <v>1784</v>
      </c>
      <c r="B2332" t="s">
        <v>1339</v>
      </c>
      <c r="C2332" t="s">
        <v>1343</v>
      </c>
    </row>
    <row r="2333" spans="1:3" x14ac:dyDescent="0.2">
      <c r="A2333" t="s">
        <v>1785</v>
      </c>
      <c r="B2333" t="s">
        <v>1339</v>
      </c>
      <c r="C2333" t="s">
        <v>1343</v>
      </c>
    </row>
    <row r="2334" spans="1:3" x14ac:dyDescent="0.2">
      <c r="A2334" t="s">
        <v>1786</v>
      </c>
      <c r="B2334" t="s">
        <v>1339</v>
      </c>
      <c r="C2334" t="s">
        <v>1343</v>
      </c>
    </row>
    <row r="2335" spans="1:3" x14ac:dyDescent="0.2">
      <c r="A2335" t="s">
        <v>1787</v>
      </c>
      <c r="B2335" t="s">
        <v>1339</v>
      </c>
      <c r="C2335" t="s">
        <v>1343</v>
      </c>
    </row>
    <row r="2336" spans="1:3" x14ac:dyDescent="0.2">
      <c r="A2336" t="s">
        <v>1788</v>
      </c>
      <c r="B2336" t="s">
        <v>1339</v>
      </c>
      <c r="C2336" t="s">
        <v>1343</v>
      </c>
    </row>
    <row r="2337" spans="1:3" x14ac:dyDescent="0.2">
      <c r="A2337" t="s">
        <v>1789</v>
      </c>
      <c r="B2337" t="s">
        <v>1339</v>
      </c>
      <c r="C2337" t="s">
        <v>1343</v>
      </c>
    </row>
    <row r="2338" spans="1:3" x14ac:dyDescent="0.2">
      <c r="A2338" t="s">
        <v>1790</v>
      </c>
      <c r="B2338" t="s">
        <v>1339</v>
      </c>
      <c r="C2338" t="s">
        <v>1343</v>
      </c>
    </row>
    <row r="2339" spans="1:3" x14ac:dyDescent="0.2">
      <c r="A2339" t="s">
        <v>1791</v>
      </c>
      <c r="B2339" t="s">
        <v>1339</v>
      </c>
      <c r="C2339" t="s">
        <v>1343</v>
      </c>
    </row>
    <row r="2340" spans="1:3" x14ac:dyDescent="0.2">
      <c r="A2340" t="s">
        <v>1792</v>
      </c>
      <c r="B2340" t="s">
        <v>1339</v>
      </c>
      <c r="C2340" t="s">
        <v>1343</v>
      </c>
    </row>
    <row r="2341" spans="1:3" x14ac:dyDescent="0.2">
      <c r="A2341" t="s">
        <v>1793</v>
      </c>
      <c r="B2341" t="s">
        <v>1339</v>
      </c>
      <c r="C2341" t="s">
        <v>1343</v>
      </c>
    </row>
    <row r="2342" spans="1:3" x14ac:dyDescent="0.2">
      <c r="A2342" t="s">
        <v>1794</v>
      </c>
      <c r="B2342" t="s">
        <v>1339</v>
      </c>
      <c r="C2342" t="s">
        <v>1343</v>
      </c>
    </row>
    <row r="2343" spans="1:3" x14ac:dyDescent="0.2">
      <c r="A2343" t="s">
        <v>6470</v>
      </c>
      <c r="B2343" t="s">
        <v>1339</v>
      </c>
      <c r="C2343" t="s">
        <v>1343</v>
      </c>
    </row>
    <row r="2344" spans="1:3" x14ac:dyDescent="0.2">
      <c r="A2344" t="s">
        <v>1795</v>
      </c>
      <c r="B2344" t="s">
        <v>1339</v>
      </c>
      <c r="C2344" t="s">
        <v>1343</v>
      </c>
    </row>
    <row r="2345" spans="1:3" x14ac:dyDescent="0.2">
      <c r="A2345" t="s">
        <v>1796</v>
      </c>
      <c r="B2345" t="s">
        <v>1339</v>
      </c>
      <c r="C2345" t="s">
        <v>1343</v>
      </c>
    </row>
    <row r="2346" spans="1:3" x14ac:dyDescent="0.2">
      <c r="A2346" t="s">
        <v>1797</v>
      </c>
      <c r="B2346" t="s">
        <v>1339</v>
      </c>
      <c r="C2346" t="s">
        <v>1343</v>
      </c>
    </row>
    <row r="2347" spans="1:3" x14ac:dyDescent="0.2">
      <c r="A2347" t="s">
        <v>1798</v>
      </c>
      <c r="B2347" t="s">
        <v>1339</v>
      </c>
      <c r="C2347" t="s">
        <v>1343</v>
      </c>
    </row>
    <row r="2348" spans="1:3" x14ac:dyDescent="0.2">
      <c r="A2348" t="s">
        <v>5492</v>
      </c>
      <c r="B2348" t="s">
        <v>1339</v>
      </c>
      <c r="C2348" t="s">
        <v>1343</v>
      </c>
    </row>
    <row r="2349" spans="1:3" x14ac:dyDescent="0.2">
      <c r="A2349" t="s">
        <v>5703</v>
      </c>
      <c r="B2349" t="s">
        <v>1339</v>
      </c>
      <c r="C2349" t="s">
        <v>1340</v>
      </c>
    </row>
    <row r="2350" spans="1:3" x14ac:dyDescent="0.2">
      <c r="A2350" t="s">
        <v>1799</v>
      </c>
      <c r="B2350" t="s">
        <v>1339</v>
      </c>
      <c r="C2350" t="s">
        <v>1343</v>
      </c>
    </row>
    <row r="2351" spans="1:3" x14ac:dyDescent="0.2">
      <c r="A2351" t="s">
        <v>4580</v>
      </c>
      <c r="B2351" t="s">
        <v>1339</v>
      </c>
      <c r="C2351" t="s">
        <v>1343</v>
      </c>
    </row>
    <row r="2352" spans="1:3" x14ac:dyDescent="0.2">
      <c r="A2352" t="s">
        <v>1800</v>
      </c>
      <c r="B2352" t="s">
        <v>1339</v>
      </c>
      <c r="C2352" t="s">
        <v>1343</v>
      </c>
    </row>
    <row r="2353" spans="1:3" x14ac:dyDescent="0.2">
      <c r="A2353" t="s">
        <v>5198</v>
      </c>
      <c r="B2353" t="s">
        <v>1339</v>
      </c>
      <c r="C2353" t="s">
        <v>1343</v>
      </c>
    </row>
    <row r="2354" spans="1:3" x14ac:dyDescent="0.2">
      <c r="A2354" t="s">
        <v>1801</v>
      </c>
      <c r="B2354" t="s">
        <v>1339</v>
      </c>
      <c r="C2354" t="s">
        <v>1343</v>
      </c>
    </row>
    <row r="2355" spans="1:3" x14ac:dyDescent="0.2">
      <c r="A2355" t="s">
        <v>1802</v>
      </c>
      <c r="B2355" t="s">
        <v>1339</v>
      </c>
      <c r="C2355" t="s">
        <v>1343</v>
      </c>
    </row>
    <row r="2356" spans="1:3" x14ac:dyDescent="0.2">
      <c r="A2356" t="s">
        <v>1803</v>
      </c>
      <c r="B2356" t="s">
        <v>1339</v>
      </c>
      <c r="C2356" t="s">
        <v>1343</v>
      </c>
    </row>
    <row r="2357" spans="1:3" x14ac:dyDescent="0.2">
      <c r="A2357" t="s">
        <v>5704</v>
      </c>
      <c r="B2357" t="s">
        <v>1339</v>
      </c>
      <c r="C2357" t="s">
        <v>1340</v>
      </c>
    </row>
    <row r="2358" spans="1:3" x14ac:dyDescent="0.2">
      <c r="A2358" t="s">
        <v>5199</v>
      </c>
      <c r="B2358" t="s">
        <v>1339</v>
      </c>
      <c r="C2358" t="s">
        <v>1343</v>
      </c>
    </row>
    <row r="2359" spans="1:3" x14ac:dyDescent="0.2">
      <c r="A2359" t="s">
        <v>1804</v>
      </c>
      <c r="B2359" t="s">
        <v>1339</v>
      </c>
      <c r="C2359" t="s">
        <v>1343</v>
      </c>
    </row>
    <row r="2360" spans="1:3" x14ac:dyDescent="0.2">
      <c r="A2360" t="s">
        <v>6471</v>
      </c>
      <c r="B2360" t="s">
        <v>1339</v>
      </c>
      <c r="C2360" t="s">
        <v>1343</v>
      </c>
    </row>
    <row r="2361" spans="1:3" x14ac:dyDescent="0.2">
      <c r="A2361" t="s">
        <v>1805</v>
      </c>
      <c r="B2361" t="s">
        <v>1339</v>
      </c>
      <c r="C2361" t="s">
        <v>1343</v>
      </c>
    </row>
    <row r="2362" spans="1:3" x14ac:dyDescent="0.2">
      <c r="A2362" t="s">
        <v>1806</v>
      </c>
      <c r="B2362" t="s">
        <v>1339</v>
      </c>
      <c r="C2362" t="s">
        <v>1343</v>
      </c>
    </row>
    <row r="2363" spans="1:3" x14ac:dyDescent="0.2">
      <c r="A2363" t="s">
        <v>1807</v>
      </c>
      <c r="B2363" t="s">
        <v>1339</v>
      </c>
      <c r="C2363" t="s">
        <v>1343</v>
      </c>
    </row>
    <row r="2364" spans="1:3" x14ac:dyDescent="0.2">
      <c r="A2364" t="s">
        <v>1808</v>
      </c>
      <c r="B2364" t="s">
        <v>1339</v>
      </c>
      <c r="C2364" t="s">
        <v>1343</v>
      </c>
    </row>
    <row r="2365" spans="1:3" x14ac:dyDescent="0.2">
      <c r="A2365" t="s">
        <v>6472</v>
      </c>
      <c r="B2365" t="s">
        <v>1339</v>
      </c>
      <c r="C2365" t="s">
        <v>1343</v>
      </c>
    </row>
    <row r="2366" spans="1:3" x14ac:dyDescent="0.2">
      <c r="A2366" t="s">
        <v>5071</v>
      </c>
      <c r="B2366" t="s">
        <v>1339</v>
      </c>
      <c r="C2366" t="s">
        <v>1343</v>
      </c>
    </row>
    <row r="2367" spans="1:3" x14ac:dyDescent="0.2">
      <c r="A2367" t="s">
        <v>1809</v>
      </c>
      <c r="B2367" t="s">
        <v>1339</v>
      </c>
      <c r="C2367" t="s">
        <v>1343</v>
      </c>
    </row>
    <row r="2368" spans="1:3" x14ac:dyDescent="0.2">
      <c r="A2368" t="s">
        <v>1810</v>
      </c>
      <c r="B2368" t="s">
        <v>1339</v>
      </c>
      <c r="C2368" t="s">
        <v>1343</v>
      </c>
    </row>
    <row r="2369" spans="1:3" x14ac:dyDescent="0.2">
      <c r="A2369" t="s">
        <v>5588</v>
      </c>
      <c r="B2369" t="s">
        <v>1339</v>
      </c>
      <c r="C2369" t="s">
        <v>1343</v>
      </c>
    </row>
    <row r="2370" spans="1:3" x14ac:dyDescent="0.2">
      <c r="A2370" t="s">
        <v>1811</v>
      </c>
      <c r="B2370" t="s">
        <v>1339</v>
      </c>
      <c r="C2370" t="s">
        <v>1343</v>
      </c>
    </row>
    <row r="2371" spans="1:3" x14ac:dyDescent="0.2">
      <c r="A2371" t="s">
        <v>5072</v>
      </c>
      <c r="B2371" t="s">
        <v>1339</v>
      </c>
      <c r="C2371" t="s">
        <v>1343</v>
      </c>
    </row>
    <row r="2372" spans="1:3" x14ac:dyDescent="0.2">
      <c r="A2372" t="s">
        <v>1812</v>
      </c>
      <c r="B2372" t="s">
        <v>1339</v>
      </c>
      <c r="C2372" t="s">
        <v>1343</v>
      </c>
    </row>
    <row r="2373" spans="1:3" x14ac:dyDescent="0.2">
      <c r="A2373" t="s">
        <v>6473</v>
      </c>
      <c r="B2373" t="s">
        <v>1339</v>
      </c>
      <c r="C2373" t="s">
        <v>1343</v>
      </c>
    </row>
    <row r="2374" spans="1:3" x14ac:dyDescent="0.2">
      <c r="A2374" t="s">
        <v>1813</v>
      </c>
      <c r="B2374" t="s">
        <v>1339</v>
      </c>
      <c r="C2374" t="s">
        <v>1343</v>
      </c>
    </row>
    <row r="2375" spans="1:3" x14ac:dyDescent="0.2">
      <c r="A2375" t="s">
        <v>1814</v>
      </c>
      <c r="B2375" t="s">
        <v>1339</v>
      </c>
      <c r="C2375" t="s">
        <v>1343</v>
      </c>
    </row>
    <row r="2376" spans="1:3" x14ac:dyDescent="0.2">
      <c r="A2376" t="s">
        <v>5200</v>
      </c>
      <c r="B2376" t="s">
        <v>1339</v>
      </c>
      <c r="C2376" t="s">
        <v>1343</v>
      </c>
    </row>
    <row r="2377" spans="1:3" x14ac:dyDescent="0.2">
      <c r="A2377" t="s">
        <v>1815</v>
      </c>
      <c r="B2377" t="s">
        <v>1339</v>
      </c>
      <c r="C2377" t="s">
        <v>1343</v>
      </c>
    </row>
    <row r="2378" spans="1:3" x14ac:dyDescent="0.2">
      <c r="A2378" t="s">
        <v>4710</v>
      </c>
      <c r="B2378" t="s">
        <v>1339</v>
      </c>
      <c r="C2378" t="s">
        <v>1343</v>
      </c>
    </row>
    <row r="2379" spans="1:3" x14ac:dyDescent="0.2">
      <c r="A2379" t="s">
        <v>1816</v>
      </c>
      <c r="B2379" t="s">
        <v>1339</v>
      </c>
      <c r="C2379" t="s">
        <v>1343</v>
      </c>
    </row>
    <row r="2380" spans="1:3" x14ac:dyDescent="0.2">
      <c r="A2380" t="s">
        <v>4711</v>
      </c>
      <c r="B2380" t="s">
        <v>1339</v>
      </c>
      <c r="C2380" t="s">
        <v>1343</v>
      </c>
    </row>
    <row r="2381" spans="1:3" x14ac:dyDescent="0.2">
      <c r="A2381" t="s">
        <v>1817</v>
      </c>
      <c r="B2381" t="s">
        <v>1339</v>
      </c>
      <c r="C2381" t="s">
        <v>1343</v>
      </c>
    </row>
    <row r="2382" spans="1:3" x14ac:dyDescent="0.2">
      <c r="A2382" t="s">
        <v>5589</v>
      </c>
      <c r="B2382" t="s">
        <v>1339</v>
      </c>
      <c r="C2382" t="s">
        <v>1343</v>
      </c>
    </row>
    <row r="2383" spans="1:3" x14ac:dyDescent="0.2">
      <c r="A2383" t="s">
        <v>6474</v>
      </c>
      <c r="B2383" t="s">
        <v>1339</v>
      </c>
      <c r="C2383" t="s">
        <v>1343</v>
      </c>
    </row>
    <row r="2384" spans="1:3" x14ac:dyDescent="0.2">
      <c r="A2384" t="s">
        <v>5201</v>
      </c>
      <c r="B2384" t="s">
        <v>1339</v>
      </c>
      <c r="C2384" t="s">
        <v>1343</v>
      </c>
    </row>
    <row r="2385" spans="1:3" x14ac:dyDescent="0.2">
      <c r="A2385" t="s">
        <v>5705</v>
      </c>
      <c r="B2385" t="s">
        <v>1339</v>
      </c>
      <c r="C2385" t="s">
        <v>1340</v>
      </c>
    </row>
    <row r="2386" spans="1:3" x14ac:dyDescent="0.2">
      <c r="A2386" t="s">
        <v>6475</v>
      </c>
      <c r="B2386" t="s">
        <v>1339</v>
      </c>
      <c r="C2386" t="s">
        <v>1343</v>
      </c>
    </row>
    <row r="2387" spans="1:3" x14ac:dyDescent="0.2">
      <c r="A2387" t="s">
        <v>4712</v>
      </c>
      <c r="B2387" t="s">
        <v>1339</v>
      </c>
      <c r="C2387" t="s">
        <v>1343</v>
      </c>
    </row>
    <row r="2388" spans="1:3" x14ac:dyDescent="0.2">
      <c r="A2388" t="s">
        <v>1818</v>
      </c>
      <c r="B2388" t="s">
        <v>1339</v>
      </c>
      <c r="C2388" t="s">
        <v>1343</v>
      </c>
    </row>
    <row r="2389" spans="1:3" x14ac:dyDescent="0.2">
      <c r="A2389" t="s">
        <v>5202</v>
      </c>
      <c r="B2389" t="s">
        <v>1339</v>
      </c>
      <c r="C2389" t="s">
        <v>1343</v>
      </c>
    </row>
    <row r="2390" spans="1:3" x14ac:dyDescent="0.2">
      <c r="A2390" t="s">
        <v>1819</v>
      </c>
      <c r="B2390" t="s">
        <v>1339</v>
      </c>
      <c r="C2390" t="s">
        <v>1343</v>
      </c>
    </row>
    <row r="2391" spans="1:3" x14ac:dyDescent="0.2">
      <c r="A2391" t="s">
        <v>1820</v>
      </c>
      <c r="B2391" t="s">
        <v>1339</v>
      </c>
      <c r="C2391" t="s">
        <v>1343</v>
      </c>
    </row>
    <row r="2392" spans="1:3" x14ac:dyDescent="0.2">
      <c r="A2392" t="s">
        <v>1821</v>
      </c>
      <c r="B2392" t="s">
        <v>1339</v>
      </c>
      <c r="C2392" t="s">
        <v>1343</v>
      </c>
    </row>
    <row r="2393" spans="1:3" x14ac:dyDescent="0.2">
      <c r="A2393" t="s">
        <v>1822</v>
      </c>
      <c r="B2393" t="s">
        <v>1339</v>
      </c>
      <c r="C2393" t="s">
        <v>1343</v>
      </c>
    </row>
    <row r="2394" spans="1:3" x14ac:dyDescent="0.2">
      <c r="A2394" t="s">
        <v>4713</v>
      </c>
      <c r="B2394" t="s">
        <v>1339</v>
      </c>
      <c r="C2394" t="s">
        <v>1343</v>
      </c>
    </row>
    <row r="2395" spans="1:3" x14ac:dyDescent="0.2">
      <c r="A2395" t="s">
        <v>1823</v>
      </c>
      <c r="B2395" t="s">
        <v>1339</v>
      </c>
      <c r="C2395" t="s">
        <v>1343</v>
      </c>
    </row>
    <row r="2396" spans="1:3" x14ac:dyDescent="0.2">
      <c r="A2396" t="s">
        <v>1824</v>
      </c>
      <c r="B2396" t="s">
        <v>1339</v>
      </c>
      <c r="C2396" t="s">
        <v>1343</v>
      </c>
    </row>
    <row r="2397" spans="1:3" x14ac:dyDescent="0.2">
      <c r="A2397" t="s">
        <v>1825</v>
      </c>
      <c r="B2397" t="s">
        <v>1339</v>
      </c>
      <c r="C2397" t="s">
        <v>1343</v>
      </c>
    </row>
    <row r="2398" spans="1:3" x14ac:dyDescent="0.2">
      <c r="A2398" t="s">
        <v>1826</v>
      </c>
      <c r="B2398" t="s">
        <v>1339</v>
      </c>
      <c r="C2398" t="s">
        <v>1343</v>
      </c>
    </row>
    <row r="2399" spans="1:3" x14ac:dyDescent="0.2">
      <c r="A2399" t="s">
        <v>1827</v>
      </c>
      <c r="B2399" t="s">
        <v>1339</v>
      </c>
      <c r="C2399" t="s">
        <v>1343</v>
      </c>
    </row>
    <row r="2400" spans="1:3" x14ac:dyDescent="0.2">
      <c r="A2400" t="s">
        <v>5073</v>
      </c>
      <c r="B2400" t="s">
        <v>1339</v>
      </c>
      <c r="C2400" t="s">
        <v>1343</v>
      </c>
    </row>
    <row r="2401" spans="1:3" x14ac:dyDescent="0.2">
      <c r="A2401" t="s">
        <v>6476</v>
      </c>
      <c r="B2401" t="s">
        <v>1339</v>
      </c>
      <c r="C2401" t="s">
        <v>1343</v>
      </c>
    </row>
    <row r="2402" spans="1:3" x14ac:dyDescent="0.2">
      <c r="A2402" t="s">
        <v>1828</v>
      </c>
      <c r="B2402" t="s">
        <v>1339</v>
      </c>
      <c r="C2402" t="s">
        <v>1343</v>
      </c>
    </row>
    <row r="2403" spans="1:3" x14ac:dyDescent="0.2">
      <c r="A2403" t="s">
        <v>5840</v>
      </c>
      <c r="B2403" t="s">
        <v>1339</v>
      </c>
      <c r="C2403" t="s">
        <v>1343</v>
      </c>
    </row>
    <row r="2404" spans="1:3" x14ac:dyDescent="0.2">
      <c r="A2404" t="s">
        <v>5074</v>
      </c>
      <c r="B2404" t="s">
        <v>1339</v>
      </c>
      <c r="C2404" t="s">
        <v>1343</v>
      </c>
    </row>
    <row r="2405" spans="1:3" x14ac:dyDescent="0.2">
      <c r="A2405" t="s">
        <v>5075</v>
      </c>
      <c r="B2405" t="s">
        <v>1339</v>
      </c>
      <c r="C2405" t="s">
        <v>1343</v>
      </c>
    </row>
    <row r="2406" spans="1:3" x14ac:dyDescent="0.2">
      <c r="A2406" t="s">
        <v>1829</v>
      </c>
      <c r="B2406" t="s">
        <v>1339</v>
      </c>
      <c r="C2406" t="s">
        <v>1343</v>
      </c>
    </row>
    <row r="2407" spans="1:3" x14ac:dyDescent="0.2">
      <c r="A2407" t="s">
        <v>4945</v>
      </c>
      <c r="B2407" t="s">
        <v>1339</v>
      </c>
      <c r="C2407" t="s">
        <v>1343</v>
      </c>
    </row>
    <row r="2408" spans="1:3" x14ac:dyDescent="0.2">
      <c r="A2408" t="s">
        <v>5203</v>
      </c>
      <c r="B2408" t="s">
        <v>1339</v>
      </c>
      <c r="C2408" t="s">
        <v>1343</v>
      </c>
    </row>
    <row r="2409" spans="1:3" x14ac:dyDescent="0.2">
      <c r="A2409" t="s">
        <v>5493</v>
      </c>
      <c r="B2409" t="s">
        <v>1339</v>
      </c>
      <c r="C2409" t="s">
        <v>1343</v>
      </c>
    </row>
    <row r="2410" spans="1:3" x14ac:dyDescent="0.2">
      <c r="A2410" t="s">
        <v>5204</v>
      </c>
      <c r="B2410" t="s">
        <v>1339</v>
      </c>
      <c r="C2410" t="s">
        <v>1343</v>
      </c>
    </row>
    <row r="2411" spans="1:3" x14ac:dyDescent="0.2">
      <c r="A2411" t="s">
        <v>1830</v>
      </c>
      <c r="B2411" t="s">
        <v>1339</v>
      </c>
      <c r="C2411" t="s">
        <v>1343</v>
      </c>
    </row>
    <row r="2412" spans="1:3" x14ac:dyDescent="0.2">
      <c r="A2412" t="s">
        <v>5841</v>
      </c>
      <c r="B2412" t="s">
        <v>1339</v>
      </c>
      <c r="C2412" t="s">
        <v>1343</v>
      </c>
    </row>
    <row r="2413" spans="1:3" x14ac:dyDescent="0.2">
      <c r="A2413" t="s">
        <v>1831</v>
      </c>
      <c r="B2413" t="s">
        <v>1339</v>
      </c>
      <c r="C2413" t="s">
        <v>1343</v>
      </c>
    </row>
    <row r="2414" spans="1:3" x14ac:dyDescent="0.2">
      <c r="A2414" t="s">
        <v>5842</v>
      </c>
      <c r="B2414" t="s">
        <v>1339</v>
      </c>
      <c r="C2414" t="s">
        <v>1343</v>
      </c>
    </row>
    <row r="2415" spans="1:3" x14ac:dyDescent="0.2">
      <c r="A2415" t="s">
        <v>5590</v>
      </c>
      <c r="B2415" t="s">
        <v>1339</v>
      </c>
      <c r="C2415" t="s">
        <v>1343</v>
      </c>
    </row>
    <row r="2416" spans="1:3" x14ac:dyDescent="0.2">
      <c r="A2416" t="s">
        <v>5843</v>
      </c>
      <c r="B2416" t="s">
        <v>1339</v>
      </c>
      <c r="C2416" t="s">
        <v>1343</v>
      </c>
    </row>
    <row r="2417" spans="1:3" x14ac:dyDescent="0.2">
      <c r="A2417" t="s">
        <v>6477</v>
      </c>
      <c r="B2417" t="s">
        <v>1339</v>
      </c>
      <c r="C2417" t="s">
        <v>1343</v>
      </c>
    </row>
    <row r="2418" spans="1:3" x14ac:dyDescent="0.2">
      <c r="A2418" t="s">
        <v>5205</v>
      </c>
      <c r="B2418" t="s">
        <v>1339</v>
      </c>
      <c r="C2418" t="s">
        <v>1343</v>
      </c>
    </row>
    <row r="2419" spans="1:3" x14ac:dyDescent="0.2">
      <c r="A2419" t="s">
        <v>1832</v>
      </c>
      <c r="B2419" t="s">
        <v>1339</v>
      </c>
      <c r="C2419" t="s">
        <v>1343</v>
      </c>
    </row>
    <row r="2420" spans="1:3" x14ac:dyDescent="0.2">
      <c r="A2420" t="s">
        <v>1833</v>
      </c>
      <c r="B2420" t="s">
        <v>1339</v>
      </c>
      <c r="C2420" t="s">
        <v>1343</v>
      </c>
    </row>
    <row r="2421" spans="1:3" x14ac:dyDescent="0.2">
      <c r="A2421" t="s">
        <v>1834</v>
      </c>
      <c r="B2421" t="s">
        <v>1339</v>
      </c>
      <c r="C2421" t="s">
        <v>1343</v>
      </c>
    </row>
    <row r="2422" spans="1:3" x14ac:dyDescent="0.2">
      <c r="A2422" t="s">
        <v>6478</v>
      </c>
      <c r="B2422" t="s">
        <v>1339</v>
      </c>
      <c r="C2422" t="s">
        <v>1343</v>
      </c>
    </row>
    <row r="2423" spans="1:3" x14ac:dyDescent="0.2">
      <c r="A2423" t="s">
        <v>1835</v>
      </c>
      <c r="B2423" t="s">
        <v>1339</v>
      </c>
      <c r="C2423" t="s">
        <v>1343</v>
      </c>
    </row>
    <row r="2424" spans="1:3" x14ac:dyDescent="0.2">
      <c r="A2424" t="s">
        <v>1836</v>
      </c>
      <c r="B2424" t="s">
        <v>1339</v>
      </c>
      <c r="C2424" t="s">
        <v>1343</v>
      </c>
    </row>
    <row r="2425" spans="1:3" x14ac:dyDescent="0.2">
      <c r="A2425" t="s">
        <v>1837</v>
      </c>
      <c r="B2425" t="s">
        <v>1339</v>
      </c>
      <c r="C2425" t="s">
        <v>1343</v>
      </c>
    </row>
    <row r="2426" spans="1:3" x14ac:dyDescent="0.2">
      <c r="A2426" t="s">
        <v>1838</v>
      </c>
      <c r="B2426" t="s">
        <v>1339</v>
      </c>
      <c r="C2426" t="s">
        <v>1343</v>
      </c>
    </row>
    <row r="2427" spans="1:3" x14ac:dyDescent="0.2">
      <c r="A2427" t="s">
        <v>1839</v>
      </c>
      <c r="B2427" t="s">
        <v>1339</v>
      </c>
      <c r="C2427" t="s">
        <v>1343</v>
      </c>
    </row>
    <row r="2428" spans="1:3" x14ac:dyDescent="0.2">
      <c r="A2428" t="s">
        <v>1840</v>
      </c>
      <c r="B2428" t="s">
        <v>1339</v>
      </c>
      <c r="C2428" t="s">
        <v>1343</v>
      </c>
    </row>
    <row r="2429" spans="1:3" x14ac:dyDescent="0.2">
      <c r="A2429" t="s">
        <v>1841</v>
      </c>
      <c r="B2429" t="s">
        <v>1339</v>
      </c>
      <c r="C2429" t="s">
        <v>1343</v>
      </c>
    </row>
    <row r="2430" spans="1:3" x14ac:dyDescent="0.2">
      <c r="A2430" t="s">
        <v>1842</v>
      </c>
      <c r="B2430" t="s">
        <v>1339</v>
      </c>
      <c r="C2430" t="s">
        <v>1343</v>
      </c>
    </row>
    <row r="2431" spans="1:3" x14ac:dyDescent="0.2">
      <c r="A2431" t="s">
        <v>1843</v>
      </c>
      <c r="B2431" t="s">
        <v>1339</v>
      </c>
      <c r="C2431" t="s">
        <v>1343</v>
      </c>
    </row>
    <row r="2432" spans="1:3" x14ac:dyDescent="0.2">
      <c r="A2432" t="s">
        <v>1844</v>
      </c>
      <c r="B2432" t="s">
        <v>1339</v>
      </c>
      <c r="C2432" t="s">
        <v>1343</v>
      </c>
    </row>
    <row r="2433" spans="1:3" x14ac:dyDescent="0.2">
      <c r="A2433" t="s">
        <v>1845</v>
      </c>
      <c r="B2433" t="s">
        <v>1339</v>
      </c>
      <c r="C2433" t="s">
        <v>1343</v>
      </c>
    </row>
    <row r="2434" spans="1:3" x14ac:dyDescent="0.2">
      <c r="A2434" t="s">
        <v>1846</v>
      </c>
      <c r="B2434" t="s">
        <v>1339</v>
      </c>
      <c r="C2434" t="s">
        <v>1343</v>
      </c>
    </row>
    <row r="2435" spans="1:3" x14ac:dyDescent="0.2">
      <c r="A2435" t="s">
        <v>1847</v>
      </c>
      <c r="B2435" t="s">
        <v>1339</v>
      </c>
      <c r="C2435" t="s">
        <v>1343</v>
      </c>
    </row>
    <row r="2436" spans="1:3" x14ac:dyDescent="0.2">
      <c r="A2436" t="s">
        <v>6479</v>
      </c>
      <c r="B2436" t="s">
        <v>1339</v>
      </c>
      <c r="C2436" t="s">
        <v>1343</v>
      </c>
    </row>
    <row r="2437" spans="1:3" x14ac:dyDescent="0.2">
      <c r="A2437" t="s">
        <v>1848</v>
      </c>
      <c r="B2437" t="s">
        <v>1339</v>
      </c>
      <c r="C2437" t="s">
        <v>1343</v>
      </c>
    </row>
    <row r="2438" spans="1:3" x14ac:dyDescent="0.2">
      <c r="A2438" t="s">
        <v>5206</v>
      </c>
      <c r="B2438" t="s">
        <v>1339</v>
      </c>
      <c r="C2438" t="s">
        <v>1343</v>
      </c>
    </row>
    <row r="2439" spans="1:3" x14ac:dyDescent="0.2">
      <c r="A2439" t="s">
        <v>4581</v>
      </c>
      <c r="B2439" t="s">
        <v>1339</v>
      </c>
      <c r="C2439" t="s">
        <v>1343</v>
      </c>
    </row>
    <row r="2440" spans="1:3" x14ac:dyDescent="0.2">
      <c r="A2440" t="s">
        <v>1849</v>
      </c>
      <c r="B2440" t="s">
        <v>1339</v>
      </c>
      <c r="C2440" t="s">
        <v>1343</v>
      </c>
    </row>
    <row r="2441" spans="1:3" x14ac:dyDescent="0.2">
      <c r="A2441" t="s">
        <v>1850</v>
      </c>
      <c r="B2441" t="s">
        <v>1339</v>
      </c>
      <c r="C2441" t="s">
        <v>1343</v>
      </c>
    </row>
    <row r="2442" spans="1:3" x14ac:dyDescent="0.2">
      <c r="A2442" t="s">
        <v>1851</v>
      </c>
      <c r="B2442" t="s">
        <v>1339</v>
      </c>
      <c r="C2442" t="s">
        <v>1343</v>
      </c>
    </row>
    <row r="2443" spans="1:3" x14ac:dyDescent="0.2">
      <c r="A2443" t="s">
        <v>1852</v>
      </c>
      <c r="B2443" t="s">
        <v>1339</v>
      </c>
      <c r="C2443" t="s">
        <v>1343</v>
      </c>
    </row>
    <row r="2444" spans="1:3" x14ac:dyDescent="0.2">
      <c r="A2444" t="s">
        <v>1853</v>
      </c>
      <c r="B2444" t="s">
        <v>1339</v>
      </c>
      <c r="C2444" t="s">
        <v>1343</v>
      </c>
    </row>
    <row r="2445" spans="1:3" x14ac:dyDescent="0.2">
      <c r="A2445" t="s">
        <v>1854</v>
      </c>
      <c r="B2445" t="s">
        <v>1339</v>
      </c>
      <c r="C2445" t="s">
        <v>1343</v>
      </c>
    </row>
    <row r="2446" spans="1:3" x14ac:dyDescent="0.2">
      <c r="A2446" t="s">
        <v>1855</v>
      </c>
      <c r="B2446" t="s">
        <v>1339</v>
      </c>
      <c r="C2446" t="s">
        <v>1343</v>
      </c>
    </row>
    <row r="2447" spans="1:3" x14ac:dyDescent="0.2">
      <c r="A2447" t="s">
        <v>1856</v>
      </c>
      <c r="B2447" t="s">
        <v>1339</v>
      </c>
      <c r="C2447" t="s">
        <v>1343</v>
      </c>
    </row>
    <row r="2448" spans="1:3" x14ac:dyDescent="0.2">
      <c r="A2448" t="s">
        <v>1857</v>
      </c>
      <c r="B2448" t="s">
        <v>1339</v>
      </c>
      <c r="C2448" t="s">
        <v>1343</v>
      </c>
    </row>
    <row r="2449" spans="1:3" x14ac:dyDescent="0.2">
      <c r="A2449" t="s">
        <v>1858</v>
      </c>
      <c r="B2449" t="s">
        <v>1339</v>
      </c>
      <c r="C2449" t="s">
        <v>1343</v>
      </c>
    </row>
    <row r="2450" spans="1:3" x14ac:dyDescent="0.2">
      <c r="A2450" t="s">
        <v>1859</v>
      </c>
      <c r="B2450" t="s">
        <v>1339</v>
      </c>
      <c r="C2450" t="s">
        <v>1343</v>
      </c>
    </row>
    <row r="2451" spans="1:3" x14ac:dyDescent="0.2">
      <c r="A2451" t="s">
        <v>6480</v>
      </c>
      <c r="B2451" t="s">
        <v>1339</v>
      </c>
      <c r="C2451" t="s">
        <v>1343</v>
      </c>
    </row>
    <row r="2452" spans="1:3" x14ac:dyDescent="0.2">
      <c r="A2452" t="s">
        <v>1860</v>
      </c>
      <c r="B2452" t="s">
        <v>1339</v>
      </c>
      <c r="C2452" t="s">
        <v>1343</v>
      </c>
    </row>
    <row r="2453" spans="1:3" x14ac:dyDescent="0.2">
      <c r="A2453" t="s">
        <v>1861</v>
      </c>
      <c r="B2453" t="s">
        <v>1339</v>
      </c>
      <c r="C2453" t="s">
        <v>1343</v>
      </c>
    </row>
    <row r="2454" spans="1:3" x14ac:dyDescent="0.2">
      <c r="A2454" t="s">
        <v>1862</v>
      </c>
      <c r="B2454" t="s">
        <v>1339</v>
      </c>
      <c r="C2454" t="s">
        <v>1343</v>
      </c>
    </row>
    <row r="2455" spans="1:3" x14ac:dyDescent="0.2">
      <c r="A2455" t="s">
        <v>1863</v>
      </c>
      <c r="B2455" t="s">
        <v>1339</v>
      </c>
      <c r="C2455" t="s">
        <v>1343</v>
      </c>
    </row>
    <row r="2456" spans="1:3" x14ac:dyDescent="0.2">
      <c r="A2456" t="s">
        <v>4714</v>
      </c>
      <c r="B2456" t="s">
        <v>1339</v>
      </c>
      <c r="C2456" t="s">
        <v>1343</v>
      </c>
    </row>
    <row r="2457" spans="1:3" x14ac:dyDescent="0.2">
      <c r="A2457" t="s">
        <v>1864</v>
      </c>
      <c r="B2457" t="s">
        <v>1339</v>
      </c>
      <c r="C2457" t="s">
        <v>1343</v>
      </c>
    </row>
    <row r="2458" spans="1:3" x14ac:dyDescent="0.2">
      <c r="A2458" t="s">
        <v>5076</v>
      </c>
      <c r="B2458" t="s">
        <v>1339</v>
      </c>
      <c r="C2458" t="s">
        <v>1343</v>
      </c>
    </row>
    <row r="2459" spans="1:3" x14ac:dyDescent="0.2">
      <c r="A2459" t="s">
        <v>4582</v>
      </c>
      <c r="B2459" t="s">
        <v>1339</v>
      </c>
      <c r="C2459" t="s">
        <v>1343</v>
      </c>
    </row>
    <row r="2460" spans="1:3" x14ac:dyDescent="0.2">
      <c r="A2460" t="s">
        <v>1865</v>
      </c>
      <c r="B2460" t="s">
        <v>1339</v>
      </c>
      <c r="C2460" t="s">
        <v>1343</v>
      </c>
    </row>
    <row r="2461" spans="1:3" x14ac:dyDescent="0.2">
      <c r="A2461" t="s">
        <v>1866</v>
      </c>
      <c r="B2461" t="s">
        <v>1339</v>
      </c>
      <c r="C2461" t="s">
        <v>1343</v>
      </c>
    </row>
    <row r="2462" spans="1:3" x14ac:dyDescent="0.2">
      <c r="A2462" t="s">
        <v>1867</v>
      </c>
      <c r="B2462" t="s">
        <v>1339</v>
      </c>
      <c r="C2462" t="s">
        <v>1343</v>
      </c>
    </row>
    <row r="2463" spans="1:3" x14ac:dyDescent="0.2">
      <c r="A2463" t="s">
        <v>1868</v>
      </c>
      <c r="B2463" t="s">
        <v>1339</v>
      </c>
      <c r="C2463" t="s">
        <v>1343</v>
      </c>
    </row>
    <row r="2464" spans="1:3" x14ac:dyDescent="0.2">
      <c r="A2464" t="s">
        <v>1869</v>
      </c>
      <c r="B2464" t="s">
        <v>1339</v>
      </c>
      <c r="C2464" t="s">
        <v>1343</v>
      </c>
    </row>
    <row r="2465" spans="1:3" x14ac:dyDescent="0.2">
      <c r="A2465" t="s">
        <v>5494</v>
      </c>
      <c r="B2465" t="s">
        <v>1339</v>
      </c>
      <c r="C2465" t="s">
        <v>1343</v>
      </c>
    </row>
    <row r="2466" spans="1:3" x14ac:dyDescent="0.2">
      <c r="A2466" t="s">
        <v>4583</v>
      </c>
      <c r="B2466" t="s">
        <v>1339</v>
      </c>
      <c r="C2466" t="s">
        <v>1343</v>
      </c>
    </row>
    <row r="2467" spans="1:3" x14ac:dyDescent="0.2">
      <c r="A2467" t="s">
        <v>4946</v>
      </c>
      <c r="B2467" t="s">
        <v>1339</v>
      </c>
      <c r="C2467" t="s">
        <v>1343</v>
      </c>
    </row>
    <row r="2468" spans="1:3" x14ac:dyDescent="0.2">
      <c r="A2468" t="s">
        <v>1870</v>
      </c>
      <c r="B2468" t="s">
        <v>1339</v>
      </c>
      <c r="C2468" t="s">
        <v>1343</v>
      </c>
    </row>
    <row r="2469" spans="1:3" x14ac:dyDescent="0.2">
      <c r="A2469" t="s">
        <v>1871</v>
      </c>
      <c r="B2469" t="s">
        <v>1339</v>
      </c>
      <c r="C2469" t="s">
        <v>1343</v>
      </c>
    </row>
    <row r="2470" spans="1:3" x14ac:dyDescent="0.2">
      <c r="A2470" t="s">
        <v>1872</v>
      </c>
      <c r="B2470" t="s">
        <v>1339</v>
      </c>
      <c r="C2470" t="s">
        <v>1343</v>
      </c>
    </row>
    <row r="2471" spans="1:3" x14ac:dyDescent="0.2">
      <c r="A2471" t="s">
        <v>1873</v>
      </c>
      <c r="B2471" t="s">
        <v>1339</v>
      </c>
      <c r="C2471" t="s">
        <v>1343</v>
      </c>
    </row>
    <row r="2472" spans="1:3" x14ac:dyDescent="0.2">
      <c r="A2472" t="s">
        <v>1874</v>
      </c>
      <c r="B2472" t="s">
        <v>1339</v>
      </c>
      <c r="C2472" t="s">
        <v>1343</v>
      </c>
    </row>
    <row r="2473" spans="1:3" x14ac:dyDescent="0.2">
      <c r="A2473" t="s">
        <v>1875</v>
      </c>
      <c r="B2473" t="s">
        <v>1339</v>
      </c>
      <c r="C2473" t="s">
        <v>1343</v>
      </c>
    </row>
    <row r="2474" spans="1:3" x14ac:dyDescent="0.2">
      <c r="A2474" t="s">
        <v>1876</v>
      </c>
      <c r="B2474" t="s">
        <v>1339</v>
      </c>
      <c r="C2474" t="s">
        <v>1343</v>
      </c>
    </row>
    <row r="2475" spans="1:3" x14ac:dyDescent="0.2">
      <c r="A2475" t="s">
        <v>1877</v>
      </c>
      <c r="B2475" t="s">
        <v>1339</v>
      </c>
      <c r="C2475" t="s">
        <v>1343</v>
      </c>
    </row>
    <row r="2476" spans="1:3" x14ac:dyDescent="0.2">
      <c r="A2476" t="s">
        <v>1878</v>
      </c>
      <c r="B2476" t="s">
        <v>1339</v>
      </c>
      <c r="C2476" t="s">
        <v>1343</v>
      </c>
    </row>
    <row r="2477" spans="1:3" x14ac:dyDescent="0.2">
      <c r="A2477" t="s">
        <v>1879</v>
      </c>
      <c r="B2477" t="s">
        <v>1339</v>
      </c>
      <c r="C2477" t="s">
        <v>1343</v>
      </c>
    </row>
    <row r="2478" spans="1:3" x14ac:dyDescent="0.2">
      <c r="A2478" t="s">
        <v>1880</v>
      </c>
      <c r="B2478" t="s">
        <v>1339</v>
      </c>
      <c r="C2478" t="s">
        <v>1343</v>
      </c>
    </row>
    <row r="2479" spans="1:3" x14ac:dyDescent="0.2">
      <c r="A2479" t="s">
        <v>1881</v>
      </c>
      <c r="B2479" t="s">
        <v>1339</v>
      </c>
      <c r="C2479" t="s">
        <v>1343</v>
      </c>
    </row>
    <row r="2480" spans="1:3" x14ac:dyDescent="0.2">
      <c r="A2480" t="s">
        <v>5077</v>
      </c>
      <c r="B2480" t="s">
        <v>1339</v>
      </c>
      <c r="C2480" t="s">
        <v>1343</v>
      </c>
    </row>
    <row r="2481" spans="1:3" x14ac:dyDescent="0.2">
      <c r="A2481" t="s">
        <v>1882</v>
      </c>
      <c r="B2481" t="s">
        <v>1339</v>
      </c>
      <c r="C2481" t="s">
        <v>1343</v>
      </c>
    </row>
    <row r="2482" spans="1:3" x14ac:dyDescent="0.2">
      <c r="A2482" t="s">
        <v>4584</v>
      </c>
      <c r="B2482" t="s">
        <v>1339</v>
      </c>
      <c r="C2482" t="s">
        <v>1343</v>
      </c>
    </row>
    <row r="2483" spans="1:3" x14ac:dyDescent="0.2">
      <c r="A2483" t="s">
        <v>1883</v>
      </c>
      <c r="B2483" t="s">
        <v>1339</v>
      </c>
      <c r="C2483" t="s">
        <v>1343</v>
      </c>
    </row>
    <row r="2484" spans="1:3" x14ac:dyDescent="0.2">
      <c r="A2484" t="s">
        <v>1884</v>
      </c>
      <c r="B2484" t="s">
        <v>1339</v>
      </c>
      <c r="C2484" t="s">
        <v>1343</v>
      </c>
    </row>
    <row r="2485" spans="1:3" x14ac:dyDescent="0.2">
      <c r="A2485" t="s">
        <v>1885</v>
      </c>
      <c r="B2485" t="s">
        <v>1339</v>
      </c>
      <c r="C2485" t="s">
        <v>1343</v>
      </c>
    </row>
    <row r="2486" spans="1:3" x14ac:dyDescent="0.2">
      <c r="A2486" t="s">
        <v>5591</v>
      </c>
      <c r="B2486" t="s">
        <v>1339</v>
      </c>
      <c r="C2486" t="s">
        <v>1343</v>
      </c>
    </row>
    <row r="2487" spans="1:3" x14ac:dyDescent="0.2">
      <c r="A2487" t="s">
        <v>4947</v>
      </c>
      <c r="B2487" t="s">
        <v>1339</v>
      </c>
      <c r="C2487" t="s">
        <v>1343</v>
      </c>
    </row>
    <row r="2488" spans="1:3" x14ac:dyDescent="0.2">
      <c r="A2488" t="s">
        <v>5078</v>
      </c>
      <c r="B2488" t="s">
        <v>1339</v>
      </c>
      <c r="C2488" t="s">
        <v>1343</v>
      </c>
    </row>
    <row r="2489" spans="1:3" x14ac:dyDescent="0.2">
      <c r="A2489" t="s">
        <v>5706</v>
      </c>
      <c r="B2489" t="s">
        <v>1339</v>
      </c>
      <c r="C2489" t="s">
        <v>1340</v>
      </c>
    </row>
    <row r="2490" spans="1:3" x14ac:dyDescent="0.2">
      <c r="A2490" t="s">
        <v>1886</v>
      </c>
      <c r="B2490" t="s">
        <v>1339</v>
      </c>
      <c r="C2490" t="s">
        <v>1343</v>
      </c>
    </row>
    <row r="2491" spans="1:3" x14ac:dyDescent="0.2">
      <c r="A2491" t="s">
        <v>1887</v>
      </c>
      <c r="B2491" t="s">
        <v>1339</v>
      </c>
      <c r="C2491" t="s">
        <v>1343</v>
      </c>
    </row>
    <row r="2492" spans="1:3" x14ac:dyDescent="0.2">
      <c r="A2492" t="s">
        <v>1888</v>
      </c>
      <c r="B2492" t="s">
        <v>1339</v>
      </c>
      <c r="C2492" t="s">
        <v>1343</v>
      </c>
    </row>
    <row r="2493" spans="1:3" x14ac:dyDescent="0.2">
      <c r="A2493" t="s">
        <v>5592</v>
      </c>
      <c r="B2493" t="s">
        <v>1339</v>
      </c>
      <c r="C2493" t="s">
        <v>1343</v>
      </c>
    </row>
    <row r="2494" spans="1:3" x14ac:dyDescent="0.2">
      <c r="A2494" t="s">
        <v>1889</v>
      </c>
      <c r="B2494" t="s">
        <v>1339</v>
      </c>
      <c r="C2494" t="s">
        <v>1343</v>
      </c>
    </row>
    <row r="2495" spans="1:3" x14ac:dyDescent="0.2">
      <c r="A2495" t="s">
        <v>1890</v>
      </c>
      <c r="B2495" t="s">
        <v>1339</v>
      </c>
      <c r="C2495" t="s">
        <v>1343</v>
      </c>
    </row>
    <row r="2496" spans="1:3" x14ac:dyDescent="0.2">
      <c r="A2496" t="s">
        <v>6481</v>
      </c>
      <c r="B2496" t="s">
        <v>1339</v>
      </c>
      <c r="C2496" t="s">
        <v>1343</v>
      </c>
    </row>
    <row r="2497" spans="1:3" x14ac:dyDescent="0.2">
      <c r="A2497" t="s">
        <v>1891</v>
      </c>
      <c r="B2497" t="s">
        <v>1339</v>
      </c>
      <c r="C2497" t="s">
        <v>1343</v>
      </c>
    </row>
    <row r="2498" spans="1:3" x14ac:dyDescent="0.2">
      <c r="A2498" t="s">
        <v>1892</v>
      </c>
      <c r="B2498" t="s">
        <v>1339</v>
      </c>
      <c r="C2498" t="s">
        <v>1343</v>
      </c>
    </row>
    <row r="2499" spans="1:3" x14ac:dyDescent="0.2">
      <c r="A2499" t="s">
        <v>1893</v>
      </c>
      <c r="B2499" t="s">
        <v>1339</v>
      </c>
      <c r="C2499" t="s">
        <v>1343</v>
      </c>
    </row>
    <row r="2500" spans="1:3" x14ac:dyDescent="0.2">
      <c r="A2500" t="s">
        <v>5207</v>
      </c>
      <c r="B2500" t="s">
        <v>1339</v>
      </c>
      <c r="C2500" t="s">
        <v>1343</v>
      </c>
    </row>
    <row r="2501" spans="1:3" x14ac:dyDescent="0.2">
      <c r="A2501" t="s">
        <v>1894</v>
      </c>
      <c r="B2501" t="s">
        <v>1339</v>
      </c>
      <c r="C2501" t="s">
        <v>1343</v>
      </c>
    </row>
    <row r="2502" spans="1:3" x14ac:dyDescent="0.2">
      <c r="A2502" t="s">
        <v>1895</v>
      </c>
      <c r="B2502" t="s">
        <v>1339</v>
      </c>
      <c r="C2502" t="s">
        <v>1343</v>
      </c>
    </row>
    <row r="2503" spans="1:3" x14ac:dyDescent="0.2">
      <c r="A2503" t="s">
        <v>1896</v>
      </c>
      <c r="B2503" t="s">
        <v>1339</v>
      </c>
      <c r="C2503" t="s">
        <v>1343</v>
      </c>
    </row>
    <row r="2504" spans="1:3" x14ac:dyDescent="0.2">
      <c r="A2504" t="s">
        <v>1897</v>
      </c>
      <c r="B2504" t="s">
        <v>1339</v>
      </c>
      <c r="C2504" t="s">
        <v>1343</v>
      </c>
    </row>
    <row r="2505" spans="1:3" x14ac:dyDescent="0.2">
      <c r="A2505" t="s">
        <v>4585</v>
      </c>
      <c r="B2505" t="s">
        <v>1339</v>
      </c>
      <c r="C2505" t="s">
        <v>1343</v>
      </c>
    </row>
    <row r="2506" spans="1:3" x14ac:dyDescent="0.2">
      <c r="A2506" t="s">
        <v>1898</v>
      </c>
      <c r="B2506" t="s">
        <v>1339</v>
      </c>
      <c r="C2506" t="s">
        <v>1343</v>
      </c>
    </row>
    <row r="2507" spans="1:3" x14ac:dyDescent="0.2">
      <c r="A2507" t="s">
        <v>3873</v>
      </c>
      <c r="B2507" t="s">
        <v>1339</v>
      </c>
      <c r="C2507" t="s">
        <v>1343</v>
      </c>
    </row>
    <row r="2508" spans="1:3" x14ac:dyDescent="0.2">
      <c r="A2508" t="s">
        <v>5707</v>
      </c>
      <c r="B2508" t="s">
        <v>1339</v>
      </c>
      <c r="C2508" t="s">
        <v>1340</v>
      </c>
    </row>
    <row r="2509" spans="1:3" x14ac:dyDescent="0.2">
      <c r="A2509" t="s">
        <v>6482</v>
      </c>
      <c r="B2509" t="s">
        <v>1339</v>
      </c>
      <c r="C2509" t="s">
        <v>1343</v>
      </c>
    </row>
    <row r="2510" spans="1:3" x14ac:dyDescent="0.2">
      <c r="A2510" t="s">
        <v>1899</v>
      </c>
      <c r="B2510" t="s">
        <v>1339</v>
      </c>
      <c r="C2510" t="s">
        <v>1343</v>
      </c>
    </row>
    <row r="2511" spans="1:3" x14ac:dyDescent="0.2">
      <c r="A2511" t="s">
        <v>1900</v>
      </c>
      <c r="B2511" t="s">
        <v>1339</v>
      </c>
      <c r="C2511" t="s">
        <v>1343</v>
      </c>
    </row>
    <row r="2512" spans="1:3" x14ac:dyDescent="0.2">
      <c r="A2512" t="s">
        <v>1901</v>
      </c>
      <c r="B2512" t="s">
        <v>1339</v>
      </c>
      <c r="C2512" t="s">
        <v>1343</v>
      </c>
    </row>
    <row r="2513" spans="1:3" x14ac:dyDescent="0.2">
      <c r="A2513" t="s">
        <v>1902</v>
      </c>
      <c r="B2513" t="s">
        <v>1339</v>
      </c>
      <c r="C2513" t="s">
        <v>1343</v>
      </c>
    </row>
    <row r="2514" spans="1:3" x14ac:dyDescent="0.2">
      <c r="A2514" t="s">
        <v>1903</v>
      </c>
      <c r="B2514" t="s">
        <v>1339</v>
      </c>
      <c r="C2514" t="s">
        <v>1343</v>
      </c>
    </row>
    <row r="2515" spans="1:3" x14ac:dyDescent="0.2">
      <c r="A2515" t="s">
        <v>1904</v>
      </c>
      <c r="B2515" t="s">
        <v>1339</v>
      </c>
      <c r="C2515" t="s">
        <v>1343</v>
      </c>
    </row>
    <row r="2516" spans="1:3" x14ac:dyDescent="0.2">
      <c r="A2516" t="s">
        <v>1905</v>
      </c>
      <c r="B2516" t="s">
        <v>1339</v>
      </c>
      <c r="C2516" t="s">
        <v>1343</v>
      </c>
    </row>
    <row r="2517" spans="1:3" x14ac:dyDescent="0.2">
      <c r="A2517" t="s">
        <v>1906</v>
      </c>
      <c r="B2517" t="s">
        <v>1339</v>
      </c>
      <c r="C2517" t="s">
        <v>1343</v>
      </c>
    </row>
    <row r="2518" spans="1:3" x14ac:dyDescent="0.2">
      <c r="A2518" t="s">
        <v>4948</v>
      </c>
      <c r="B2518" t="s">
        <v>1339</v>
      </c>
      <c r="C2518" t="s">
        <v>1343</v>
      </c>
    </row>
    <row r="2519" spans="1:3" x14ac:dyDescent="0.2">
      <c r="A2519" t="s">
        <v>6483</v>
      </c>
      <c r="B2519" t="s">
        <v>1339</v>
      </c>
      <c r="C2519" t="s">
        <v>1343</v>
      </c>
    </row>
    <row r="2520" spans="1:3" x14ac:dyDescent="0.2">
      <c r="A2520" t="s">
        <v>5079</v>
      </c>
      <c r="B2520" t="s">
        <v>1339</v>
      </c>
      <c r="C2520" t="s">
        <v>1343</v>
      </c>
    </row>
    <row r="2521" spans="1:3" x14ac:dyDescent="0.2">
      <c r="A2521" t="s">
        <v>1907</v>
      </c>
      <c r="B2521" t="s">
        <v>1339</v>
      </c>
      <c r="C2521" t="s">
        <v>1343</v>
      </c>
    </row>
    <row r="2522" spans="1:3" x14ac:dyDescent="0.2">
      <c r="A2522" t="s">
        <v>1908</v>
      </c>
      <c r="B2522" t="s">
        <v>1339</v>
      </c>
      <c r="C2522" t="s">
        <v>1343</v>
      </c>
    </row>
    <row r="2523" spans="1:3" x14ac:dyDescent="0.2">
      <c r="A2523" t="s">
        <v>4586</v>
      </c>
      <c r="B2523" t="s">
        <v>1339</v>
      </c>
      <c r="C2523" t="s">
        <v>1343</v>
      </c>
    </row>
    <row r="2524" spans="1:3" x14ac:dyDescent="0.2">
      <c r="A2524" t="s">
        <v>4587</v>
      </c>
      <c r="B2524" t="s">
        <v>1339</v>
      </c>
      <c r="C2524" t="s">
        <v>1343</v>
      </c>
    </row>
    <row r="2525" spans="1:3" x14ac:dyDescent="0.2">
      <c r="A2525" t="s">
        <v>6484</v>
      </c>
      <c r="B2525" t="s">
        <v>1339</v>
      </c>
      <c r="C2525" t="s">
        <v>1343</v>
      </c>
    </row>
    <row r="2526" spans="1:3" x14ac:dyDescent="0.2">
      <c r="A2526" t="s">
        <v>1909</v>
      </c>
      <c r="B2526" t="s">
        <v>1339</v>
      </c>
      <c r="C2526" t="s">
        <v>1343</v>
      </c>
    </row>
    <row r="2527" spans="1:3" x14ac:dyDescent="0.2">
      <c r="A2527" t="s">
        <v>5495</v>
      </c>
      <c r="B2527" t="s">
        <v>1339</v>
      </c>
      <c r="C2527" t="s">
        <v>1343</v>
      </c>
    </row>
    <row r="2528" spans="1:3" x14ac:dyDescent="0.2">
      <c r="A2528" t="s">
        <v>1910</v>
      </c>
      <c r="B2528" t="s">
        <v>1339</v>
      </c>
      <c r="C2528" t="s">
        <v>1343</v>
      </c>
    </row>
    <row r="2529" spans="1:3" x14ac:dyDescent="0.2">
      <c r="A2529" t="s">
        <v>1911</v>
      </c>
      <c r="B2529" t="s">
        <v>1339</v>
      </c>
      <c r="C2529" t="s">
        <v>1343</v>
      </c>
    </row>
    <row r="2530" spans="1:3" x14ac:dyDescent="0.2">
      <c r="A2530" t="s">
        <v>1912</v>
      </c>
      <c r="B2530" t="s">
        <v>1339</v>
      </c>
      <c r="C2530" t="s">
        <v>1343</v>
      </c>
    </row>
    <row r="2531" spans="1:3" x14ac:dyDescent="0.2">
      <c r="A2531" t="s">
        <v>5208</v>
      </c>
      <c r="B2531" t="s">
        <v>1339</v>
      </c>
      <c r="C2531" t="s">
        <v>1343</v>
      </c>
    </row>
    <row r="2532" spans="1:3" x14ac:dyDescent="0.2">
      <c r="A2532" t="s">
        <v>5844</v>
      </c>
      <c r="B2532" t="s">
        <v>1339</v>
      </c>
      <c r="C2532" t="s">
        <v>1343</v>
      </c>
    </row>
    <row r="2533" spans="1:3" x14ac:dyDescent="0.2">
      <c r="A2533" t="s">
        <v>1913</v>
      </c>
      <c r="B2533" t="s">
        <v>1339</v>
      </c>
      <c r="C2533" t="s">
        <v>1343</v>
      </c>
    </row>
    <row r="2534" spans="1:3" x14ac:dyDescent="0.2">
      <c r="A2534" t="s">
        <v>5708</v>
      </c>
      <c r="B2534" t="s">
        <v>1339</v>
      </c>
      <c r="C2534" t="s">
        <v>1340</v>
      </c>
    </row>
    <row r="2535" spans="1:3" x14ac:dyDescent="0.2">
      <c r="A2535" t="s">
        <v>1914</v>
      </c>
      <c r="B2535" t="s">
        <v>1339</v>
      </c>
      <c r="C2535" t="s">
        <v>1343</v>
      </c>
    </row>
    <row r="2536" spans="1:3" x14ac:dyDescent="0.2">
      <c r="A2536" t="s">
        <v>6485</v>
      </c>
      <c r="B2536" t="s">
        <v>1339</v>
      </c>
      <c r="C2536" t="s">
        <v>1343</v>
      </c>
    </row>
    <row r="2537" spans="1:3" x14ac:dyDescent="0.2">
      <c r="A2537" t="s">
        <v>5209</v>
      </c>
      <c r="B2537" t="s">
        <v>1339</v>
      </c>
      <c r="C2537" t="s">
        <v>1343</v>
      </c>
    </row>
    <row r="2538" spans="1:3" x14ac:dyDescent="0.2">
      <c r="A2538" t="s">
        <v>5210</v>
      </c>
      <c r="B2538" t="s">
        <v>1339</v>
      </c>
      <c r="C2538" t="s">
        <v>1343</v>
      </c>
    </row>
    <row r="2539" spans="1:3" x14ac:dyDescent="0.2">
      <c r="A2539" t="s">
        <v>5709</v>
      </c>
      <c r="B2539" t="s">
        <v>1339</v>
      </c>
      <c r="C2539" t="s">
        <v>1340</v>
      </c>
    </row>
    <row r="2540" spans="1:3" x14ac:dyDescent="0.2">
      <c r="A2540" t="s">
        <v>1915</v>
      </c>
      <c r="B2540" t="s">
        <v>1339</v>
      </c>
      <c r="C2540" t="s">
        <v>1343</v>
      </c>
    </row>
    <row r="2541" spans="1:3" x14ac:dyDescent="0.2">
      <c r="A2541" t="s">
        <v>5845</v>
      </c>
      <c r="B2541" t="s">
        <v>1339</v>
      </c>
      <c r="C2541" t="s">
        <v>1343</v>
      </c>
    </row>
    <row r="2542" spans="1:3" x14ac:dyDescent="0.2">
      <c r="A2542" t="s">
        <v>5846</v>
      </c>
      <c r="B2542" t="s">
        <v>1339</v>
      </c>
      <c r="C2542" t="s">
        <v>1343</v>
      </c>
    </row>
    <row r="2543" spans="1:3" x14ac:dyDescent="0.2">
      <c r="A2543" t="s">
        <v>5496</v>
      </c>
      <c r="B2543" t="s">
        <v>1339</v>
      </c>
      <c r="C2543" t="s">
        <v>1343</v>
      </c>
    </row>
    <row r="2544" spans="1:3" x14ac:dyDescent="0.2">
      <c r="A2544" t="s">
        <v>1916</v>
      </c>
      <c r="B2544" t="s">
        <v>1339</v>
      </c>
      <c r="C2544" t="s">
        <v>1343</v>
      </c>
    </row>
    <row r="2545" spans="1:3" x14ac:dyDescent="0.2">
      <c r="A2545" t="s">
        <v>1917</v>
      </c>
      <c r="B2545" t="s">
        <v>1339</v>
      </c>
      <c r="C2545" t="s">
        <v>1343</v>
      </c>
    </row>
    <row r="2546" spans="1:3" x14ac:dyDescent="0.2">
      <c r="A2546" t="s">
        <v>5847</v>
      </c>
      <c r="B2546" t="s">
        <v>1339</v>
      </c>
      <c r="C2546" t="s">
        <v>1343</v>
      </c>
    </row>
    <row r="2547" spans="1:3" x14ac:dyDescent="0.2">
      <c r="A2547" t="s">
        <v>1918</v>
      </c>
      <c r="B2547" t="s">
        <v>1339</v>
      </c>
      <c r="C2547" t="s">
        <v>1343</v>
      </c>
    </row>
    <row r="2548" spans="1:3" x14ac:dyDescent="0.2">
      <c r="A2548" t="s">
        <v>5080</v>
      </c>
      <c r="B2548" t="s">
        <v>1339</v>
      </c>
      <c r="C2548" t="s">
        <v>1343</v>
      </c>
    </row>
    <row r="2549" spans="1:3" x14ac:dyDescent="0.2">
      <c r="A2549" t="s">
        <v>5497</v>
      </c>
      <c r="B2549" t="s">
        <v>1339</v>
      </c>
      <c r="C2549" t="s">
        <v>1343</v>
      </c>
    </row>
    <row r="2550" spans="1:3" x14ac:dyDescent="0.2">
      <c r="A2550" t="s">
        <v>1919</v>
      </c>
      <c r="B2550" t="s">
        <v>1339</v>
      </c>
      <c r="C2550" t="s">
        <v>1343</v>
      </c>
    </row>
    <row r="2551" spans="1:3" x14ac:dyDescent="0.2">
      <c r="A2551" t="s">
        <v>1920</v>
      </c>
      <c r="B2551" t="s">
        <v>1339</v>
      </c>
      <c r="C2551" t="s">
        <v>1343</v>
      </c>
    </row>
    <row r="2552" spans="1:3" x14ac:dyDescent="0.2">
      <c r="A2552" t="s">
        <v>5081</v>
      </c>
      <c r="B2552" t="s">
        <v>1339</v>
      </c>
      <c r="C2552" t="s">
        <v>1343</v>
      </c>
    </row>
    <row r="2553" spans="1:3" x14ac:dyDescent="0.2">
      <c r="A2553" t="s">
        <v>1921</v>
      </c>
      <c r="B2553" t="s">
        <v>1339</v>
      </c>
      <c r="C2553" t="s">
        <v>1343</v>
      </c>
    </row>
    <row r="2554" spans="1:3" x14ac:dyDescent="0.2">
      <c r="A2554" t="s">
        <v>5498</v>
      </c>
      <c r="B2554" t="s">
        <v>1339</v>
      </c>
      <c r="C2554" t="s">
        <v>1343</v>
      </c>
    </row>
    <row r="2555" spans="1:3" x14ac:dyDescent="0.2">
      <c r="A2555" t="s">
        <v>1922</v>
      </c>
      <c r="B2555" t="s">
        <v>1339</v>
      </c>
      <c r="C2555" t="s">
        <v>1343</v>
      </c>
    </row>
    <row r="2556" spans="1:3" x14ac:dyDescent="0.2">
      <c r="A2556" t="s">
        <v>1923</v>
      </c>
      <c r="B2556" t="s">
        <v>1339</v>
      </c>
      <c r="C2556" t="s">
        <v>1343</v>
      </c>
    </row>
    <row r="2557" spans="1:3" x14ac:dyDescent="0.2">
      <c r="A2557" t="s">
        <v>1924</v>
      </c>
      <c r="B2557" t="s">
        <v>1339</v>
      </c>
      <c r="C2557" t="s">
        <v>1343</v>
      </c>
    </row>
    <row r="2558" spans="1:3" x14ac:dyDescent="0.2">
      <c r="A2558" t="s">
        <v>1925</v>
      </c>
      <c r="B2558" t="s">
        <v>1339</v>
      </c>
      <c r="C2558" t="s">
        <v>1343</v>
      </c>
    </row>
    <row r="2559" spans="1:3" x14ac:dyDescent="0.2">
      <c r="A2559" t="s">
        <v>5710</v>
      </c>
      <c r="B2559" t="s">
        <v>1339</v>
      </c>
      <c r="C2559" t="s">
        <v>1340</v>
      </c>
    </row>
    <row r="2560" spans="1:3" x14ac:dyDescent="0.2">
      <c r="A2560" t="s">
        <v>5211</v>
      </c>
      <c r="B2560" t="s">
        <v>1339</v>
      </c>
      <c r="C2560" t="s">
        <v>1343</v>
      </c>
    </row>
    <row r="2561" spans="1:3" x14ac:dyDescent="0.2">
      <c r="A2561" t="s">
        <v>6486</v>
      </c>
      <c r="B2561" t="s">
        <v>1339</v>
      </c>
      <c r="C2561" t="s">
        <v>1343</v>
      </c>
    </row>
    <row r="2562" spans="1:3" x14ac:dyDescent="0.2">
      <c r="A2562" t="s">
        <v>1926</v>
      </c>
      <c r="B2562" t="s">
        <v>1339</v>
      </c>
      <c r="C2562" t="s">
        <v>1343</v>
      </c>
    </row>
    <row r="2563" spans="1:3" x14ac:dyDescent="0.2">
      <c r="A2563" t="s">
        <v>4588</v>
      </c>
      <c r="B2563" t="s">
        <v>1339</v>
      </c>
      <c r="C2563" t="s">
        <v>1343</v>
      </c>
    </row>
    <row r="2564" spans="1:3" x14ac:dyDescent="0.2">
      <c r="A2564" t="s">
        <v>1927</v>
      </c>
      <c r="B2564" t="s">
        <v>1339</v>
      </c>
      <c r="C2564" t="s">
        <v>1343</v>
      </c>
    </row>
    <row r="2565" spans="1:3" x14ac:dyDescent="0.2">
      <c r="A2565" t="s">
        <v>5711</v>
      </c>
      <c r="B2565" t="s">
        <v>1339</v>
      </c>
      <c r="C2565" t="s">
        <v>1340</v>
      </c>
    </row>
    <row r="2566" spans="1:3" x14ac:dyDescent="0.2">
      <c r="A2566" t="s">
        <v>1928</v>
      </c>
      <c r="B2566" t="s">
        <v>1339</v>
      </c>
      <c r="C2566" t="s">
        <v>1343</v>
      </c>
    </row>
    <row r="2567" spans="1:3" x14ac:dyDescent="0.2">
      <c r="A2567" t="s">
        <v>1929</v>
      </c>
      <c r="B2567" t="s">
        <v>1339</v>
      </c>
      <c r="C2567" t="s">
        <v>1343</v>
      </c>
    </row>
    <row r="2568" spans="1:3" x14ac:dyDescent="0.2">
      <c r="A2568" t="s">
        <v>1930</v>
      </c>
      <c r="B2568" t="s">
        <v>1339</v>
      </c>
      <c r="C2568" t="s">
        <v>1343</v>
      </c>
    </row>
    <row r="2569" spans="1:3" x14ac:dyDescent="0.2">
      <c r="A2569" t="s">
        <v>5848</v>
      </c>
      <c r="B2569" t="s">
        <v>1339</v>
      </c>
      <c r="C2569" t="s">
        <v>1343</v>
      </c>
    </row>
    <row r="2570" spans="1:3" x14ac:dyDescent="0.2">
      <c r="A2570" t="s">
        <v>4715</v>
      </c>
      <c r="B2570" t="s">
        <v>1339</v>
      </c>
      <c r="C2570" t="s">
        <v>1343</v>
      </c>
    </row>
    <row r="2571" spans="1:3" x14ac:dyDescent="0.2">
      <c r="A2571" t="s">
        <v>5212</v>
      </c>
      <c r="B2571" t="s">
        <v>1339</v>
      </c>
      <c r="C2571" t="s">
        <v>1343</v>
      </c>
    </row>
    <row r="2572" spans="1:3" x14ac:dyDescent="0.2">
      <c r="A2572" t="s">
        <v>1931</v>
      </c>
      <c r="B2572" t="s">
        <v>1339</v>
      </c>
      <c r="C2572" t="s">
        <v>1343</v>
      </c>
    </row>
    <row r="2573" spans="1:3" x14ac:dyDescent="0.2">
      <c r="A2573" t="s">
        <v>1932</v>
      </c>
      <c r="B2573" t="s">
        <v>1339</v>
      </c>
      <c r="C2573" t="s">
        <v>1343</v>
      </c>
    </row>
    <row r="2574" spans="1:3" x14ac:dyDescent="0.2">
      <c r="A2574" t="s">
        <v>1933</v>
      </c>
      <c r="B2574" t="s">
        <v>1339</v>
      </c>
      <c r="C2574" t="s">
        <v>1343</v>
      </c>
    </row>
    <row r="2575" spans="1:3" x14ac:dyDescent="0.2">
      <c r="A2575" t="s">
        <v>5849</v>
      </c>
      <c r="B2575" t="s">
        <v>1339</v>
      </c>
      <c r="C2575" t="s">
        <v>1343</v>
      </c>
    </row>
    <row r="2576" spans="1:3" x14ac:dyDescent="0.2">
      <c r="A2576" t="s">
        <v>5850</v>
      </c>
      <c r="B2576" t="s">
        <v>1339</v>
      </c>
      <c r="C2576" t="s">
        <v>1343</v>
      </c>
    </row>
    <row r="2577" spans="1:3" x14ac:dyDescent="0.2">
      <c r="A2577" t="s">
        <v>1934</v>
      </c>
      <c r="B2577" t="s">
        <v>1339</v>
      </c>
      <c r="C2577" t="s">
        <v>1343</v>
      </c>
    </row>
    <row r="2578" spans="1:3" x14ac:dyDescent="0.2">
      <c r="A2578" t="s">
        <v>5213</v>
      </c>
      <c r="B2578" t="s">
        <v>1339</v>
      </c>
      <c r="C2578" t="s">
        <v>1343</v>
      </c>
    </row>
    <row r="2579" spans="1:3" x14ac:dyDescent="0.2">
      <c r="A2579" t="s">
        <v>6487</v>
      </c>
      <c r="B2579" t="s">
        <v>1339</v>
      </c>
      <c r="C2579" t="s">
        <v>1343</v>
      </c>
    </row>
    <row r="2580" spans="1:3" x14ac:dyDescent="0.2">
      <c r="A2580" t="s">
        <v>5593</v>
      </c>
      <c r="B2580" t="s">
        <v>1339</v>
      </c>
      <c r="C2580" t="s">
        <v>1343</v>
      </c>
    </row>
    <row r="2581" spans="1:3" x14ac:dyDescent="0.2">
      <c r="A2581" t="s">
        <v>5594</v>
      </c>
      <c r="B2581" t="s">
        <v>1339</v>
      </c>
      <c r="C2581" t="s">
        <v>1343</v>
      </c>
    </row>
    <row r="2582" spans="1:3" x14ac:dyDescent="0.2">
      <c r="A2582" t="s">
        <v>1935</v>
      </c>
      <c r="B2582" t="s">
        <v>1339</v>
      </c>
      <c r="C2582" t="s">
        <v>1343</v>
      </c>
    </row>
    <row r="2583" spans="1:3" x14ac:dyDescent="0.2">
      <c r="A2583" t="s">
        <v>5499</v>
      </c>
      <c r="B2583" t="s">
        <v>1339</v>
      </c>
      <c r="C2583" t="s">
        <v>1343</v>
      </c>
    </row>
    <row r="2584" spans="1:3" x14ac:dyDescent="0.2">
      <c r="A2584" t="s">
        <v>1936</v>
      </c>
      <c r="B2584" t="s">
        <v>1339</v>
      </c>
      <c r="C2584" t="s">
        <v>1343</v>
      </c>
    </row>
    <row r="2585" spans="1:3" x14ac:dyDescent="0.2">
      <c r="A2585" t="s">
        <v>5851</v>
      </c>
      <c r="B2585" t="s">
        <v>1339</v>
      </c>
      <c r="C2585" t="s">
        <v>1343</v>
      </c>
    </row>
    <row r="2586" spans="1:3" x14ac:dyDescent="0.2">
      <c r="A2586" t="s">
        <v>1937</v>
      </c>
      <c r="B2586" t="s">
        <v>1339</v>
      </c>
      <c r="C2586" t="s">
        <v>1343</v>
      </c>
    </row>
    <row r="2587" spans="1:3" x14ac:dyDescent="0.2">
      <c r="A2587" t="s">
        <v>5852</v>
      </c>
      <c r="B2587" t="s">
        <v>1339</v>
      </c>
      <c r="C2587" t="s">
        <v>1343</v>
      </c>
    </row>
    <row r="2588" spans="1:3" x14ac:dyDescent="0.2">
      <c r="A2588" t="s">
        <v>1938</v>
      </c>
      <c r="B2588" t="s">
        <v>1339</v>
      </c>
      <c r="C2588" t="s">
        <v>1343</v>
      </c>
    </row>
    <row r="2589" spans="1:3" x14ac:dyDescent="0.2">
      <c r="A2589" t="s">
        <v>4949</v>
      </c>
      <c r="B2589" t="s">
        <v>1339</v>
      </c>
      <c r="C2589" t="s">
        <v>1343</v>
      </c>
    </row>
    <row r="2590" spans="1:3" x14ac:dyDescent="0.2">
      <c r="A2590" t="s">
        <v>1939</v>
      </c>
      <c r="B2590" t="s">
        <v>1339</v>
      </c>
      <c r="C2590" t="s">
        <v>1343</v>
      </c>
    </row>
    <row r="2591" spans="1:3" x14ac:dyDescent="0.2">
      <c r="A2591" t="s">
        <v>1940</v>
      </c>
      <c r="B2591" t="s">
        <v>1339</v>
      </c>
      <c r="C2591" t="s">
        <v>1343</v>
      </c>
    </row>
    <row r="2592" spans="1:3" x14ac:dyDescent="0.2">
      <c r="A2592" t="s">
        <v>1941</v>
      </c>
      <c r="B2592" t="s">
        <v>1339</v>
      </c>
      <c r="C2592" t="s">
        <v>1343</v>
      </c>
    </row>
    <row r="2593" spans="1:3" x14ac:dyDescent="0.2">
      <c r="A2593" t="s">
        <v>5500</v>
      </c>
      <c r="B2593" t="s">
        <v>1339</v>
      </c>
      <c r="C2593" t="s">
        <v>1343</v>
      </c>
    </row>
    <row r="2594" spans="1:3" x14ac:dyDescent="0.2">
      <c r="A2594" t="s">
        <v>5501</v>
      </c>
      <c r="B2594" t="s">
        <v>1339</v>
      </c>
      <c r="C2594" t="s">
        <v>1343</v>
      </c>
    </row>
    <row r="2595" spans="1:3" x14ac:dyDescent="0.2">
      <c r="A2595" t="s">
        <v>1942</v>
      </c>
      <c r="B2595" t="s">
        <v>1339</v>
      </c>
      <c r="C2595" t="s">
        <v>1343</v>
      </c>
    </row>
    <row r="2596" spans="1:3" x14ac:dyDescent="0.2">
      <c r="A2596" t="s">
        <v>1943</v>
      </c>
      <c r="B2596" t="s">
        <v>1339</v>
      </c>
      <c r="C2596" t="s">
        <v>1343</v>
      </c>
    </row>
    <row r="2597" spans="1:3" x14ac:dyDescent="0.2">
      <c r="A2597" t="s">
        <v>1944</v>
      </c>
      <c r="B2597" t="s">
        <v>1339</v>
      </c>
      <c r="C2597" t="s">
        <v>1343</v>
      </c>
    </row>
    <row r="2598" spans="1:3" x14ac:dyDescent="0.2">
      <c r="A2598" t="s">
        <v>1945</v>
      </c>
      <c r="B2598" t="s">
        <v>1339</v>
      </c>
      <c r="C2598" t="s">
        <v>1343</v>
      </c>
    </row>
    <row r="2599" spans="1:3" x14ac:dyDescent="0.2">
      <c r="A2599" t="s">
        <v>5082</v>
      </c>
      <c r="B2599" t="s">
        <v>1339</v>
      </c>
      <c r="C2599" t="s">
        <v>1343</v>
      </c>
    </row>
    <row r="2600" spans="1:3" x14ac:dyDescent="0.2">
      <c r="A2600" t="s">
        <v>1946</v>
      </c>
      <c r="B2600" t="s">
        <v>1339</v>
      </c>
      <c r="C2600" t="s">
        <v>1343</v>
      </c>
    </row>
    <row r="2601" spans="1:3" x14ac:dyDescent="0.2">
      <c r="A2601" t="s">
        <v>1947</v>
      </c>
      <c r="B2601" t="s">
        <v>1339</v>
      </c>
      <c r="C2601" t="s">
        <v>1343</v>
      </c>
    </row>
    <row r="2602" spans="1:3" x14ac:dyDescent="0.2">
      <c r="A2602" t="s">
        <v>1948</v>
      </c>
      <c r="B2602" t="s">
        <v>1339</v>
      </c>
      <c r="C2602" t="s">
        <v>1343</v>
      </c>
    </row>
    <row r="2603" spans="1:3" x14ac:dyDescent="0.2">
      <c r="A2603" t="s">
        <v>1949</v>
      </c>
      <c r="B2603" t="s">
        <v>1339</v>
      </c>
      <c r="C2603" t="s">
        <v>1343</v>
      </c>
    </row>
    <row r="2604" spans="1:3" x14ac:dyDescent="0.2">
      <c r="A2604" t="s">
        <v>1950</v>
      </c>
      <c r="B2604" t="s">
        <v>1339</v>
      </c>
      <c r="C2604" t="s">
        <v>1343</v>
      </c>
    </row>
    <row r="2605" spans="1:3" x14ac:dyDescent="0.2">
      <c r="A2605" t="s">
        <v>5502</v>
      </c>
      <c r="B2605" t="s">
        <v>1339</v>
      </c>
      <c r="C2605" t="s">
        <v>1343</v>
      </c>
    </row>
    <row r="2606" spans="1:3" x14ac:dyDescent="0.2">
      <c r="A2606" t="s">
        <v>1951</v>
      </c>
      <c r="B2606" t="s">
        <v>1339</v>
      </c>
      <c r="C2606" t="s">
        <v>1343</v>
      </c>
    </row>
    <row r="2607" spans="1:3" x14ac:dyDescent="0.2">
      <c r="A2607" t="s">
        <v>1952</v>
      </c>
      <c r="B2607" t="s">
        <v>1339</v>
      </c>
      <c r="C2607" t="s">
        <v>1343</v>
      </c>
    </row>
    <row r="2608" spans="1:3" x14ac:dyDescent="0.2">
      <c r="A2608" t="s">
        <v>1953</v>
      </c>
      <c r="B2608" t="s">
        <v>1339</v>
      </c>
      <c r="C2608" t="s">
        <v>1343</v>
      </c>
    </row>
    <row r="2609" spans="1:3" x14ac:dyDescent="0.2">
      <c r="A2609" t="s">
        <v>1954</v>
      </c>
      <c r="B2609" t="s">
        <v>1339</v>
      </c>
      <c r="C2609" t="s">
        <v>1343</v>
      </c>
    </row>
    <row r="2610" spans="1:3" x14ac:dyDescent="0.2">
      <c r="A2610" t="s">
        <v>1955</v>
      </c>
      <c r="B2610" t="s">
        <v>1339</v>
      </c>
      <c r="C2610" t="s">
        <v>1343</v>
      </c>
    </row>
    <row r="2611" spans="1:3" x14ac:dyDescent="0.2">
      <c r="A2611" t="s">
        <v>5853</v>
      </c>
      <c r="B2611" t="s">
        <v>1339</v>
      </c>
      <c r="C2611" t="s">
        <v>1343</v>
      </c>
    </row>
    <row r="2612" spans="1:3" x14ac:dyDescent="0.2">
      <c r="A2612" t="s">
        <v>5854</v>
      </c>
      <c r="B2612" t="s">
        <v>1339</v>
      </c>
      <c r="C2612" t="s">
        <v>1343</v>
      </c>
    </row>
    <row r="2613" spans="1:3" x14ac:dyDescent="0.2">
      <c r="A2613" t="s">
        <v>4589</v>
      </c>
      <c r="B2613" t="s">
        <v>1339</v>
      </c>
      <c r="C2613" t="s">
        <v>1343</v>
      </c>
    </row>
    <row r="2614" spans="1:3" x14ac:dyDescent="0.2">
      <c r="A2614" t="s">
        <v>5855</v>
      </c>
      <c r="B2614" t="s">
        <v>1339</v>
      </c>
      <c r="C2614" t="s">
        <v>1343</v>
      </c>
    </row>
    <row r="2615" spans="1:3" x14ac:dyDescent="0.2">
      <c r="A2615" t="s">
        <v>1956</v>
      </c>
      <c r="B2615" t="s">
        <v>1339</v>
      </c>
      <c r="C2615" t="s">
        <v>1343</v>
      </c>
    </row>
    <row r="2616" spans="1:3" x14ac:dyDescent="0.2">
      <c r="A2616" t="s">
        <v>1957</v>
      </c>
      <c r="B2616" t="s">
        <v>1339</v>
      </c>
      <c r="C2616" t="s">
        <v>1343</v>
      </c>
    </row>
    <row r="2617" spans="1:3" x14ac:dyDescent="0.2">
      <c r="A2617" t="s">
        <v>1958</v>
      </c>
      <c r="B2617" t="s">
        <v>1339</v>
      </c>
      <c r="C2617" t="s">
        <v>1343</v>
      </c>
    </row>
    <row r="2618" spans="1:3" x14ac:dyDescent="0.2">
      <c r="A2618" t="s">
        <v>4950</v>
      </c>
      <c r="B2618" t="s">
        <v>1339</v>
      </c>
      <c r="C2618" t="s">
        <v>1343</v>
      </c>
    </row>
    <row r="2619" spans="1:3" x14ac:dyDescent="0.2">
      <c r="A2619" t="s">
        <v>1959</v>
      </c>
      <c r="B2619" t="s">
        <v>1339</v>
      </c>
      <c r="C2619" t="s">
        <v>1343</v>
      </c>
    </row>
    <row r="2620" spans="1:3" x14ac:dyDescent="0.2">
      <c r="A2620" t="s">
        <v>1960</v>
      </c>
      <c r="B2620" t="s">
        <v>1339</v>
      </c>
      <c r="C2620" t="s">
        <v>1343</v>
      </c>
    </row>
    <row r="2621" spans="1:3" x14ac:dyDescent="0.2">
      <c r="A2621" t="s">
        <v>5595</v>
      </c>
      <c r="B2621" t="s">
        <v>1339</v>
      </c>
      <c r="C2621" t="s">
        <v>1343</v>
      </c>
    </row>
    <row r="2622" spans="1:3" x14ac:dyDescent="0.2">
      <c r="A2622" t="s">
        <v>1961</v>
      </c>
      <c r="B2622" t="s">
        <v>1339</v>
      </c>
      <c r="C2622" t="s">
        <v>1343</v>
      </c>
    </row>
    <row r="2623" spans="1:3" x14ac:dyDescent="0.2">
      <c r="A2623" t="s">
        <v>1962</v>
      </c>
      <c r="B2623" t="s">
        <v>1339</v>
      </c>
      <c r="C2623" t="s">
        <v>1343</v>
      </c>
    </row>
    <row r="2624" spans="1:3" x14ac:dyDescent="0.2">
      <c r="A2624" t="s">
        <v>5214</v>
      </c>
      <c r="B2624" t="s">
        <v>1339</v>
      </c>
      <c r="C2624" t="s">
        <v>1343</v>
      </c>
    </row>
    <row r="2625" spans="1:3" x14ac:dyDescent="0.2">
      <c r="A2625" t="s">
        <v>5215</v>
      </c>
      <c r="B2625" t="s">
        <v>1339</v>
      </c>
      <c r="C2625" t="s">
        <v>1343</v>
      </c>
    </row>
    <row r="2626" spans="1:3" x14ac:dyDescent="0.2">
      <c r="A2626" t="s">
        <v>1963</v>
      </c>
      <c r="B2626" t="s">
        <v>1339</v>
      </c>
      <c r="C2626" t="s">
        <v>1343</v>
      </c>
    </row>
    <row r="2627" spans="1:3" x14ac:dyDescent="0.2">
      <c r="A2627" t="s">
        <v>5503</v>
      </c>
      <c r="B2627" t="s">
        <v>1339</v>
      </c>
      <c r="C2627" t="s">
        <v>1343</v>
      </c>
    </row>
    <row r="2628" spans="1:3" x14ac:dyDescent="0.2">
      <c r="A2628" t="s">
        <v>1964</v>
      </c>
      <c r="B2628" t="s">
        <v>1339</v>
      </c>
      <c r="C2628" t="s">
        <v>1343</v>
      </c>
    </row>
    <row r="2629" spans="1:3" x14ac:dyDescent="0.2">
      <c r="A2629" t="s">
        <v>5504</v>
      </c>
      <c r="B2629" t="s">
        <v>1339</v>
      </c>
      <c r="C2629" t="s">
        <v>1343</v>
      </c>
    </row>
    <row r="2630" spans="1:3" x14ac:dyDescent="0.2">
      <c r="A2630" t="s">
        <v>5596</v>
      </c>
      <c r="B2630" t="s">
        <v>1339</v>
      </c>
      <c r="C2630" t="s">
        <v>1343</v>
      </c>
    </row>
    <row r="2631" spans="1:3" x14ac:dyDescent="0.2">
      <c r="A2631" t="s">
        <v>6488</v>
      </c>
      <c r="B2631" t="s">
        <v>1339</v>
      </c>
      <c r="C2631" t="s">
        <v>1343</v>
      </c>
    </row>
    <row r="2632" spans="1:3" x14ac:dyDescent="0.2">
      <c r="A2632" t="s">
        <v>1965</v>
      </c>
      <c r="B2632" t="s">
        <v>1339</v>
      </c>
      <c r="C2632" t="s">
        <v>1343</v>
      </c>
    </row>
    <row r="2633" spans="1:3" x14ac:dyDescent="0.2">
      <c r="A2633" t="s">
        <v>6489</v>
      </c>
      <c r="B2633" t="s">
        <v>1339</v>
      </c>
      <c r="C2633" t="s">
        <v>1343</v>
      </c>
    </row>
    <row r="2634" spans="1:3" x14ac:dyDescent="0.2">
      <c r="A2634" t="s">
        <v>5712</v>
      </c>
      <c r="B2634" t="s">
        <v>1339</v>
      </c>
      <c r="C2634" t="s">
        <v>1340</v>
      </c>
    </row>
    <row r="2635" spans="1:3" x14ac:dyDescent="0.2">
      <c r="A2635" t="s">
        <v>6490</v>
      </c>
      <c r="B2635" t="s">
        <v>1339</v>
      </c>
      <c r="C2635" t="s">
        <v>1343</v>
      </c>
    </row>
    <row r="2636" spans="1:3" x14ac:dyDescent="0.2">
      <c r="A2636" t="s">
        <v>6491</v>
      </c>
      <c r="B2636" t="s">
        <v>1339</v>
      </c>
      <c r="C2636" t="s">
        <v>1343</v>
      </c>
    </row>
    <row r="2637" spans="1:3" x14ac:dyDescent="0.2">
      <c r="A2637" t="s">
        <v>1966</v>
      </c>
      <c r="B2637" t="s">
        <v>1339</v>
      </c>
      <c r="C2637" t="s">
        <v>1343</v>
      </c>
    </row>
    <row r="2638" spans="1:3" x14ac:dyDescent="0.2">
      <c r="A2638" t="s">
        <v>5856</v>
      </c>
      <c r="B2638" t="s">
        <v>1339</v>
      </c>
      <c r="C2638" t="s">
        <v>1343</v>
      </c>
    </row>
    <row r="2639" spans="1:3" x14ac:dyDescent="0.2">
      <c r="A2639" t="s">
        <v>5597</v>
      </c>
      <c r="B2639" t="s">
        <v>1339</v>
      </c>
      <c r="C2639" t="s">
        <v>1343</v>
      </c>
    </row>
    <row r="2640" spans="1:3" x14ac:dyDescent="0.2">
      <c r="A2640" t="s">
        <v>5857</v>
      </c>
      <c r="B2640" t="s">
        <v>1339</v>
      </c>
      <c r="C2640" t="s">
        <v>1343</v>
      </c>
    </row>
    <row r="2641" spans="1:3" x14ac:dyDescent="0.2">
      <c r="A2641" t="s">
        <v>5505</v>
      </c>
      <c r="B2641" t="s">
        <v>1339</v>
      </c>
      <c r="C2641" t="s">
        <v>1343</v>
      </c>
    </row>
    <row r="2642" spans="1:3" x14ac:dyDescent="0.2">
      <c r="A2642" t="s">
        <v>5858</v>
      </c>
      <c r="B2642" t="s">
        <v>1339</v>
      </c>
      <c r="C2642" t="s">
        <v>1343</v>
      </c>
    </row>
    <row r="2643" spans="1:3" x14ac:dyDescent="0.2">
      <c r="A2643" t="s">
        <v>5506</v>
      </c>
      <c r="B2643" t="s">
        <v>1339</v>
      </c>
      <c r="C2643" t="s">
        <v>1343</v>
      </c>
    </row>
    <row r="2644" spans="1:3" x14ac:dyDescent="0.2">
      <c r="A2644" t="s">
        <v>6492</v>
      </c>
      <c r="B2644" t="s">
        <v>1339</v>
      </c>
      <c r="C2644" t="s">
        <v>1343</v>
      </c>
    </row>
    <row r="2645" spans="1:3" x14ac:dyDescent="0.2">
      <c r="A2645" t="s">
        <v>1967</v>
      </c>
      <c r="B2645" t="s">
        <v>1339</v>
      </c>
      <c r="C2645" t="s">
        <v>1343</v>
      </c>
    </row>
    <row r="2646" spans="1:3" x14ac:dyDescent="0.2">
      <c r="A2646" t="s">
        <v>1968</v>
      </c>
      <c r="B2646" t="s">
        <v>1339</v>
      </c>
      <c r="C2646" t="s">
        <v>1343</v>
      </c>
    </row>
    <row r="2647" spans="1:3" x14ac:dyDescent="0.2">
      <c r="A2647" t="s">
        <v>1969</v>
      </c>
      <c r="B2647" t="s">
        <v>1339</v>
      </c>
      <c r="C2647" t="s">
        <v>1343</v>
      </c>
    </row>
    <row r="2648" spans="1:3" x14ac:dyDescent="0.2">
      <c r="A2648" t="s">
        <v>1970</v>
      </c>
      <c r="B2648" t="s">
        <v>1339</v>
      </c>
      <c r="C2648" t="s">
        <v>1343</v>
      </c>
    </row>
    <row r="2649" spans="1:3" x14ac:dyDescent="0.2">
      <c r="A2649" t="s">
        <v>1971</v>
      </c>
      <c r="B2649" t="s">
        <v>1339</v>
      </c>
      <c r="C2649" t="s">
        <v>1343</v>
      </c>
    </row>
    <row r="2650" spans="1:3" x14ac:dyDescent="0.2">
      <c r="A2650" t="s">
        <v>5713</v>
      </c>
      <c r="B2650" t="s">
        <v>1339</v>
      </c>
      <c r="C2650" t="s">
        <v>1340</v>
      </c>
    </row>
    <row r="2651" spans="1:3" x14ac:dyDescent="0.2">
      <c r="A2651" t="s">
        <v>1972</v>
      </c>
      <c r="B2651" t="s">
        <v>1339</v>
      </c>
      <c r="C2651" t="s">
        <v>1343</v>
      </c>
    </row>
    <row r="2652" spans="1:3" x14ac:dyDescent="0.2">
      <c r="A2652" t="s">
        <v>5507</v>
      </c>
      <c r="B2652" t="s">
        <v>1339</v>
      </c>
      <c r="C2652" t="s">
        <v>1343</v>
      </c>
    </row>
    <row r="2653" spans="1:3" x14ac:dyDescent="0.2">
      <c r="A2653" t="s">
        <v>1973</v>
      </c>
      <c r="B2653" t="s">
        <v>1339</v>
      </c>
      <c r="C2653" t="s">
        <v>1343</v>
      </c>
    </row>
    <row r="2654" spans="1:3" x14ac:dyDescent="0.2">
      <c r="A2654" t="s">
        <v>6493</v>
      </c>
      <c r="B2654" t="s">
        <v>1339</v>
      </c>
      <c r="C2654" t="s">
        <v>1343</v>
      </c>
    </row>
    <row r="2655" spans="1:3" x14ac:dyDescent="0.2">
      <c r="A2655" t="s">
        <v>1974</v>
      </c>
      <c r="B2655" t="s">
        <v>1339</v>
      </c>
      <c r="C2655" t="s">
        <v>1343</v>
      </c>
    </row>
    <row r="2656" spans="1:3" x14ac:dyDescent="0.2">
      <c r="A2656" t="s">
        <v>1975</v>
      </c>
      <c r="B2656" t="s">
        <v>1339</v>
      </c>
      <c r="C2656" t="s">
        <v>1343</v>
      </c>
    </row>
    <row r="2657" spans="1:3" x14ac:dyDescent="0.2">
      <c r="A2657" t="s">
        <v>5216</v>
      </c>
      <c r="B2657" t="s">
        <v>1339</v>
      </c>
      <c r="C2657" t="s">
        <v>1343</v>
      </c>
    </row>
    <row r="2658" spans="1:3" x14ac:dyDescent="0.2">
      <c r="A2658" t="s">
        <v>5598</v>
      </c>
      <c r="B2658" t="s">
        <v>1339</v>
      </c>
      <c r="C2658" t="s">
        <v>1343</v>
      </c>
    </row>
    <row r="2659" spans="1:3" x14ac:dyDescent="0.2">
      <c r="A2659" t="s">
        <v>1976</v>
      </c>
      <c r="B2659" t="s">
        <v>1339</v>
      </c>
      <c r="C2659" t="s">
        <v>1343</v>
      </c>
    </row>
    <row r="2660" spans="1:3" x14ac:dyDescent="0.2">
      <c r="A2660" t="s">
        <v>1977</v>
      </c>
      <c r="B2660" t="s">
        <v>1339</v>
      </c>
      <c r="C2660" t="s">
        <v>1343</v>
      </c>
    </row>
    <row r="2661" spans="1:3" x14ac:dyDescent="0.2">
      <c r="A2661" t="s">
        <v>1978</v>
      </c>
      <c r="B2661" t="s">
        <v>1339</v>
      </c>
      <c r="C2661" t="s">
        <v>1343</v>
      </c>
    </row>
    <row r="2662" spans="1:3" x14ac:dyDescent="0.2">
      <c r="A2662" t="s">
        <v>1979</v>
      </c>
      <c r="B2662" t="s">
        <v>1339</v>
      </c>
      <c r="C2662" t="s">
        <v>1343</v>
      </c>
    </row>
    <row r="2663" spans="1:3" x14ac:dyDescent="0.2">
      <c r="A2663" t="s">
        <v>5508</v>
      </c>
      <c r="B2663" t="s">
        <v>1339</v>
      </c>
      <c r="C2663" t="s">
        <v>1343</v>
      </c>
    </row>
    <row r="2664" spans="1:3" x14ac:dyDescent="0.2">
      <c r="A2664" t="s">
        <v>5859</v>
      </c>
      <c r="B2664" t="s">
        <v>1339</v>
      </c>
      <c r="C2664" t="s">
        <v>1343</v>
      </c>
    </row>
    <row r="2665" spans="1:3" x14ac:dyDescent="0.2">
      <c r="A2665" t="s">
        <v>1980</v>
      </c>
      <c r="B2665" t="s">
        <v>1339</v>
      </c>
      <c r="C2665" t="s">
        <v>1343</v>
      </c>
    </row>
    <row r="2666" spans="1:3" x14ac:dyDescent="0.2">
      <c r="A2666" t="s">
        <v>1981</v>
      </c>
      <c r="B2666" t="s">
        <v>1339</v>
      </c>
      <c r="C2666" t="s">
        <v>1343</v>
      </c>
    </row>
    <row r="2667" spans="1:3" x14ac:dyDescent="0.2">
      <c r="A2667" t="s">
        <v>5860</v>
      </c>
      <c r="B2667" t="s">
        <v>1339</v>
      </c>
      <c r="C2667" t="s">
        <v>1343</v>
      </c>
    </row>
    <row r="2668" spans="1:3" x14ac:dyDescent="0.2">
      <c r="A2668" t="s">
        <v>5217</v>
      </c>
      <c r="B2668" t="s">
        <v>1339</v>
      </c>
      <c r="C2668" t="s">
        <v>1343</v>
      </c>
    </row>
    <row r="2669" spans="1:3" x14ac:dyDescent="0.2">
      <c r="A2669" t="s">
        <v>5861</v>
      </c>
      <c r="B2669" t="s">
        <v>1339</v>
      </c>
      <c r="C2669" t="s">
        <v>1343</v>
      </c>
    </row>
    <row r="2670" spans="1:3" x14ac:dyDescent="0.2">
      <c r="A2670" t="s">
        <v>5218</v>
      </c>
      <c r="B2670" t="s">
        <v>1339</v>
      </c>
      <c r="C2670" t="s">
        <v>1343</v>
      </c>
    </row>
    <row r="2671" spans="1:3" x14ac:dyDescent="0.2">
      <c r="A2671" t="s">
        <v>1982</v>
      </c>
      <c r="B2671" t="s">
        <v>1339</v>
      </c>
      <c r="C2671" t="s">
        <v>1343</v>
      </c>
    </row>
    <row r="2672" spans="1:3" x14ac:dyDescent="0.2">
      <c r="A2672" t="s">
        <v>6494</v>
      </c>
      <c r="B2672" t="s">
        <v>1339</v>
      </c>
      <c r="C2672" t="s">
        <v>1343</v>
      </c>
    </row>
    <row r="2673" spans="1:3" x14ac:dyDescent="0.2">
      <c r="A2673" t="s">
        <v>1983</v>
      </c>
      <c r="B2673" t="s">
        <v>1339</v>
      </c>
      <c r="C2673" t="s">
        <v>1343</v>
      </c>
    </row>
    <row r="2674" spans="1:3" x14ac:dyDescent="0.2">
      <c r="A2674" t="s">
        <v>5862</v>
      </c>
      <c r="B2674" t="s">
        <v>1339</v>
      </c>
      <c r="C2674" t="s">
        <v>1343</v>
      </c>
    </row>
    <row r="2675" spans="1:3" x14ac:dyDescent="0.2">
      <c r="A2675" t="s">
        <v>1984</v>
      </c>
      <c r="B2675" t="s">
        <v>1339</v>
      </c>
      <c r="C2675" t="s">
        <v>1343</v>
      </c>
    </row>
    <row r="2676" spans="1:3" x14ac:dyDescent="0.2">
      <c r="A2676" t="s">
        <v>1985</v>
      </c>
      <c r="B2676" t="s">
        <v>1339</v>
      </c>
      <c r="C2676" t="s">
        <v>1343</v>
      </c>
    </row>
    <row r="2677" spans="1:3" x14ac:dyDescent="0.2">
      <c r="A2677" t="s">
        <v>5863</v>
      </c>
      <c r="B2677" t="s">
        <v>1339</v>
      </c>
      <c r="C2677" t="s">
        <v>1343</v>
      </c>
    </row>
    <row r="2678" spans="1:3" x14ac:dyDescent="0.2">
      <c r="A2678" t="s">
        <v>1986</v>
      </c>
      <c r="B2678" t="s">
        <v>1339</v>
      </c>
      <c r="C2678" t="s">
        <v>1343</v>
      </c>
    </row>
    <row r="2679" spans="1:3" x14ac:dyDescent="0.2">
      <c r="A2679" t="s">
        <v>5083</v>
      </c>
      <c r="B2679" t="s">
        <v>1339</v>
      </c>
      <c r="C2679" t="s">
        <v>1343</v>
      </c>
    </row>
    <row r="2680" spans="1:3" x14ac:dyDescent="0.2">
      <c r="A2680" t="s">
        <v>5864</v>
      </c>
      <c r="B2680" t="s">
        <v>1339</v>
      </c>
      <c r="C2680" t="s">
        <v>1343</v>
      </c>
    </row>
    <row r="2681" spans="1:3" x14ac:dyDescent="0.2">
      <c r="A2681" t="s">
        <v>5219</v>
      </c>
      <c r="B2681" t="s">
        <v>1339</v>
      </c>
      <c r="C2681" t="s">
        <v>1343</v>
      </c>
    </row>
    <row r="2682" spans="1:3" x14ac:dyDescent="0.2">
      <c r="A2682" t="s">
        <v>1987</v>
      </c>
      <c r="B2682" t="s">
        <v>1339</v>
      </c>
      <c r="C2682" t="s">
        <v>1343</v>
      </c>
    </row>
    <row r="2683" spans="1:3" x14ac:dyDescent="0.2">
      <c r="A2683" t="s">
        <v>5599</v>
      </c>
      <c r="B2683" t="s">
        <v>1339</v>
      </c>
      <c r="C2683" t="s">
        <v>1343</v>
      </c>
    </row>
    <row r="2684" spans="1:3" x14ac:dyDescent="0.2">
      <c r="A2684" t="s">
        <v>5084</v>
      </c>
      <c r="B2684" t="s">
        <v>1339</v>
      </c>
      <c r="C2684" t="s">
        <v>1343</v>
      </c>
    </row>
    <row r="2685" spans="1:3" x14ac:dyDescent="0.2">
      <c r="A2685" t="s">
        <v>5600</v>
      </c>
      <c r="B2685" t="s">
        <v>1339</v>
      </c>
      <c r="C2685" t="s">
        <v>1343</v>
      </c>
    </row>
    <row r="2686" spans="1:3" x14ac:dyDescent="0.2">
      <c r="A2686" t="s">
        <v>1988</v>
      </c>
      <c r="B2686" t="s">
        <v>1339</v>
      </c>
      <c r="C2686" t="s">
        <v>1343</v>
      </c>
    </row>
    <row r="2687" spans="1:3" x14ac:dyDescent="0.2">
      <c r="A2687" t="s">
        <v>5220</v>
      </c>
      <c r="B2687" t="s">
        <v>1339</v>
      </c>
      <c r="C2687" t="s">
        <v>1343</v>
      </c>
    </row>
    <row r="2688" spans="1:3" x14ac:dyDescent="0.2">
      <c r="A2688" t="s">
        <v>1989</v>
      </c>
      <c r="B2688" t="s">
        <v>1339</v>
      </c>
      <c r="C2688" t="s">
        <v>1343</v>
      </c>
    </row>
    <row r="2689" spans="1:3" x14ac:dyDescent="0.2">
      <c r="A2689" t="s">
        <v>1990</v>
      </c>
      <c r="B2689" t="s">
        <v>1339</v>
      </c>
      <c r="C2689" t="s">
        <v>1343</v>
      </c>
    </row>
    <row r="2690" spans="1:3" x14ac:dyDescent="0.2">
      <c r="A2690" t="s">
        <v>5865</v>
      </c>
      <c r="B2690" t="s">
        <v>1339</v>
      </c>
      <c r="C2690" t="s">
        <v>1343</v>
      </c>
    </row>
    <row r="2691" spans="1:3" x14ac:dyDescent="0.2">
      <c r="A2691" t="s">
        <v>4590</v>
      </c>
      <c r="B2691" t="s">
        <v>1339</v>
      </c>
      <c r="C2691" t="s">
        <v>1343</v>
      </c>
    </row>
    <row r="2692" spans="1:3" x14ac:dyDescent="0.2">
      <c r="A2692" t="s">
        <v>5714</v>
      </c>
      <c r="B2692" t="s">
        <v>1339</v>
      </c>
      <c r="C2692" t="s">
        <v>1340</v>
      </c>
    </row>
    <row r="2693" spans="1:3" x14ac:dyDescent="0.2">
      <c r="A2693" t="s">
        <v>1991</v>
      </c>
      <c r="B2693" t="s">
        <v>1339</v>
      </c>
      <c r="C2693" t="s">
        <v>1343</v>
      </c>
    </row>
    <row r="2694" spans="1:3" x14ac:dyDescent="0.2">
      <c r="A2694" t="s">
        <v>1992</v>
      </c>
      <c r="B2694" t="s">
        <v>1339</v>
      </c>
      <c r="C2694" t="s">
        <v>1343</v>
      </c>
    </row>
    <row r="2695" spans="1:3" x14ac:dyDescent="0.2">
      <c r="A2695" t="s">
        <v>1993</v>
      </c>
      <c r="B2695" t="s">
        <v>1339</v>
      </c>
      <c r="C2695" t="s">
        <v>1343</v>
      </c>
    </row>
    <row r="2696" spans="1:3" x14ac:dyDescent="0.2">
      <c r="A2696" t="s">
        <v>5601</v>
      </c>
      <c r="B2696" t="s">
        <v>1339</v>
      </c>
      <c r="C2696" t="s">
        <v>1343</v>
      </c>
    </row>
    <row r="2697" spans="1:3" x14ac:dyDescent="0.2">
      <c r="A2697" t="s">
        <v>1994</v>
      </c>
      <c r="B2697" t="s">
        <v>1339</v>
      </c>
      <c r="C2697" t="s">
        <v>1343</v>
      </c>
    </row>
    <row r="2698" spans="1:3" x14ac:dyDescent="0.2">
      <c r="A2698" t="s">
        <v>1995</v>
      </c>
      <c r="B2698" t="s">
        <v>1339</v>
      </c>
      <c r="C2698" t="s">
        <v>1343</v>
      </c>
    </row>
    <row r="2699" spans="1:3" x14ac:dyDescent="0.2">
      <c r="A2699" t="s">
        <v>6495</v>
      </c>
      <c r="B2699" t="s">
        <v>1339</v>
      </c>
      <c r="C2699" t="s">
        <v>1343</v>
      </c>
    </row>
    <row r="2700" spans="1:3" x14ac:dyDescent="0.2">
      <c r="A2700" t="s">
        <v>5221</v>
      </c>
      <c r="B2700" t="s">
        <v>1339</v>
      </c>
      <c r="C2700" t="s">
        <v>1343</v>
      </c>
    </row>
    <row r="2701" spans="1:3" x14ac:dyDescent="0.2">
      <c r="A2701" t="s">
        <v>1996</v>
      </c>
      <c r="B2701" t="s">
        <v>1339</v>
      </c>
      <c r="C2701" t="s">
        <v>1343</v>
      </c>
    </row>
    <row r="2702" spans="1:3" x14ac:dyDescent="0.2">
      <c r="A2702" t="s">
        <v>5602</v>
      </c>
      <c r="B2702" t="s">
        <v>1339</v>
      </c>
      <c r="C2702" t="s">
        <v>1343</v>
      </c>
    </row>
    <row r="2703" spans="1:3" x14ac:dyDescent="0.2">
      <c r="A2703" t="s">
        <v>4951</v>
      </c>
      <c r="B2703" t="s">
        <v>1339</v>
      </c>
      <c r="C2703" t="s">
        <v>1343</v>
      </c>
    </row>
    <row r="2704" spans="1:3" x14ac:dyDescent="0.2">
      <c r="A2704" t="s">
        <v>1997</v>
      </c>
      <c r="B2704" t="s">
        <v>1339</v>
      </c>
      <c r="C2704" t="s">
        <v>1343</v>
      </c>
    </row>
    <row r="2705" spans="1:3" x14ac:dyDescent="0.2">
      <c r="A2705" t="s">
        <v>5866</v>
      </c>
      <c r="B2705" t="s">
        <v>1339</v>
      </c>
      <c r="C2705" t="s">
        <v>1343</v>
      </c>
    </row>
    <row r="2706" spans="1:3" x14ac:dyDescent="0.2">
      <c r="A2706" t="s">
        <v>1998</v>
      </c>
      <c r="B2706" t="s">
        <v>1339</v>
      </c>
      <c r="C2706" t="s">
        <v>1343</v>
      </c>
    </row>
    <row r="2707" spans="1:3" x14ac:dyDescent="0.2">
      <c r="A2707" t="s">
        <v>6496</v>
      </c>
      <c r="B2707" t="s">
        <v>1339</v>
      </c>
      <c r="C2707" t="s">
        <v>1343</v>
      </c>
    </row>
    <row r="2708" spans="1:3" x14ac:dyDescent="0.2">
      <c r="A2708" t="s">
        <v>1999</v>
      </c>
      <c r="B2708" t="s">
        <v>1339</v>
      </c>
      <c r="C2708" t="s">
        <v>1343</v>
      </c>
    </row>
    <row r="2709" spans="1:3" x14ac:dyDescent="0.2">
      <c r="A2709" t="s">
        <v>2000</v>
      </c>
      <c r="B2709" t="s">
        <v>1339</v>
      </c>
      <c r="C2709" t="s">
        <v>1343</v>
      </c>
    </row>
    <row r="2710" spans="1:3" x14ac:dyDescent="0.2">
      <c r="A2710" t="s">
        <v>2001</v>
      </c>
      <c r="B2710" t="s">
        <v>1339</v>
      </c>
      <c r="C2710" t="s">
        <v>1343</v>
      </c>
    </row>
    <row r="2711" spans="1:3" x14ac:dyDescent="0.2">
      <c r="A2711" t="s">
        <v>2002</v>
      </c>
      <c r="B2711" t="s">
        <v>1339</v>
      </c>
      <c r="C2711" t="s">
        <v>1343</v>
      </c>
    </row>
    <row r="2712" spans="1:3" x14ac:dyDescent="0.2">
      <c r="A2712" t="s">
        <v>2003</v>
      </c>
      <c r="B2712" t="s">
        <v>1339</v>
      </c>
      <c r="C2712" t="s">
        <v>1343</v>
      </c>
    </row>
    <row r="2713" spans="1:3" x14ac:dyDescent="0.2">
      <c r="A2713" t="s">
        <v>2004</v>
      </c>
      <c r="B2713" t="s">
        <v>1339</v>
      </c>
      <c r="C2713" t="s">
        <v>1343</v>
      </c>
    </row>
    <row r="2714" spans="1:3" x14ac:dyDescent="0.2">
      <c r="A2714" t="s">
        <v>2005</v>
      </c>
      <c r="B2714" t="s">
        <v>1339</v>
      </c>
      <c r="C2714" t="s">
        <v>1343</v>
      </c>
    </row>
    <row r="2715" spans="1:3" x14ac:dyDescent="0.2">
      <c r="A2715" t="s">
        <v>2006</v>
      </c>
      <c r="B2715" t="s">
        <v>1339</v>
      </c>
      <c r="C2715" t="s">
        <v>1343</v>
      </c>
    </row>
    <row r="2716" spans="1:3" x14ac:dyDescent="0.2">
      <c r="A2716" t="s">
        <v>6497</v>
      </c>
      <c r="B2716" t="s">
        <v>1339</v>
      </c>
      <c r="C2716" t="s">
        <v>1343</v>
      </c>
    </row>
    <row r="2717" spans="1:3" x14ac:dyDescent="0.2">
      <c r="A2717" t="s">
        <v>4591</v>
      </c>
      <c r="B2717" t="s">
        <v>1339</v>
      </c>
      <c r="C2717" t="s">
        <v>1343</v>
      </c>
    </row>
    <row r="2718" spans="1:3" x14ac:dyDescent="0.2">
      <c r="A2718" t="s">
        <v>5222</v>
      </c>
      <c r="B2718" t="s">
        <v>1339</v>
      </c>
      <c r="C2718" t="s">
        <v>1343</v>
      </c>
    </row>
    <row r="2719" spans="1:3" x14ac:dyDescent="0.2">
      <c r="A2719" t="s">
        <v>5509</v>
      </c>
      <c r="B2719" t="s">
        <v>1339</v>
      </c>
      <c r="C2719" t="s">
        <v>1343</v>
      </c>
    </row>
    <row r="2720" spans="1:3" x14ac:dyDescent="0.2">
      <c r="A2720" t="s">
        <v>2007</v>
      </c>
      <c r="B2720" t="s">
        <v>1339</v>
      </c>
      <c r="C2720" t="s">
        <v>1343</v>
      </c>
    </row>
    <row r="2721" spans="1:3" x14ac:dyDescent="0.2">
      <c r="A2721" t="s">
        <v>5510</v>
      </c>
      <c r="B2721" t="s">
        <v>1339</v>
      </c>
      <c r="C2721" t="s">
        <v>1343</v>
      </c>
    </row>
    <row r="2722" spans="1:3" x14ac:dyDescent="0.2">
      <c r="A2722" t="s">
        <v>5867</v>
      </c>
      <c r="B2722" t="s">
        <v>1339</v>
      </c>
      <c r="C2722" t="s">
        <v>1343</v>
      </c>
    </row>
    <row r="2723" spans="1:3" x14ac:dyDescent="0.2">
      <c r="A2723" t="s">
        <v>5511</v>
      </c>
      <c r="B2723" t="s">
        <v>1339</v>
      </c>
      <c r="C2723" t="s">
        <v>1343</v>
      </c>
    </row>
    <row r="2724" spans="1:3" x14ac:dyDescent="0.2">
      <c r="A2724" t="s">
        <v>5715</v>
      </c>
      <c r="B2724" t="s">
        <v>1339</v>
      </c>
      <c r="C2724" t="s">
        <v>1340</v>
      </c>
    </row>
    <row r="2725" spans="1:3" x14ac:dyDescent="0.2">
      <c r="A2725" t="s">
        <v>5603</v>
      </c>
      <c r="B2725" t="s">
        <v>1339</v>
      </c>
      <c r="C2725" t="s">
        <v>1343</v>
      </c>
    </row>
    <row r="2726" spans="1:3" x14ac:dyDescent="0.2">
      <c r="A2726" t="s">
        <v>2008</v>
      </c>
      <c r="B2726" t="s">
        <v>1339</v>
      </c>
      <c r="C2726" t="s">
        <v>1343</v>
      </c>
    </row>
    <row r="2727" spans="1:3" x14ac:dyDescent="0.2">
      <c r="A2727" t="s">
        <v>2009</v>
      </c>
      <c r="B2727" t="s">
        <v>1339</v>
      </c>
      <c r="C2727" t="s">
        <v>1343</v>
      </c>
    </row>
    <row r="2728" spans="1:3" x14ac:dyDescent="0.2">
      <c r="A2728" t="s">
        <v>6498</v>
      </c>
      <c r="B2728" t="s">
        <v>1339</v>
      </c>
      <c r="C2728" t="s">
        <v>1343</v>
      </c>
    </row>
    <row r="2729" spans="1:3" x14ac:dyDescent="0.2">
      <c r="A2729" t="s">
        <v>5716</v>
      </c>
      <c r="B2729" t="s">
        <v>1339</v>
      </c>
      <c r="C2729" t="s">
        <v>1340</v>
      </c>
    </row>
    <row r="2730" spans="1:3" x14ac:dyDescent="0.2">
      <c r="A2730" t="s">
        <v>2010</v>
      </c>
      <c r="B2730" t="s">
        <v>1339</v>
      </c>
      <c r="C2730" t="s">
        <v>1343</v>
      </c>
    </row>
    <row r="2731" spans="1:3" x14ac:dyDescent="0.2">
      <c r="A2731" t="s">
        <v>5868</v>
      </c>
      <c r="B2731" t="s">
        <v>1339</v>
      </c>
      <c r="C2731" t="s">
        <v>1343</v>
      </c>
    </row>
    <row r="2732" spans="1:3" x14ac:dyDescent="0.2">
      <c r="A2732" t="s">
        <v>5717</v>
      </c>
      <c r="B2732" t="s">
        <v>1339</v>
      </c>
      <c r="C2732" t="s">
        <v>1340</v>
      </c>
    </row>
    <row r="2733" spans="1:3" x14ac:dyDescent="0.2">
      <c r="A2733" t="s">
        <v>5604</v>
      </c>
      <c r="B2733" t="s">
        <v>1339</v>
      </c>
      <c r="C2733" t="s">
        <v>1343</v>
      </c>
    </row>
    <row r="2734" spans="1:3" x14ac:dyDescent="0.2">
      <c r="A2734" t="s">
        <v>2011</v>
      </c>
      <c r="B2734" t="s">
        <v>1339</v>
      </c>
      <c r="C2734" t="s">
        <v>1343</v>
      </c>
    </row>
    <row r="2735" spans="1:3" x14ac:dyDescent="0.2">
      <c r="A2735" t="s">
        <v>2012</v>
      </c>
      <c r="B2735" t="s">
        <v>1339</v>
      </c>
      <c r="C2735" t="s">
        <v>1343</v>
      </c>
    </row>
    <row r="2736" spans="1:3" x14ac:dyDescent="0.2">
      <c r="A2736" t="s">
        <v>6499</v>
      </c>
      <c r="B2736" t="s">
        <v>1339</v>
      </c>
      <c r="C2736" t="s">
        <v>1343</v>
      </c>
    </row>
    <row r="2737" spans="1:3" x14ac:dyDescent="0.2">
      <c r="A2737" t="s">
        <v>6500</v>
      </c>
      <c r="B2737" t="s">
        <v>1339</v>
      </c>
      <c r="C2737" t="s">
        <v>1343</v>
      </c>
    </row>
    <row r="2738" spans="1:3" x14ac:dyDescent="0.2">
      <c r="A2738" t="s">
        <v>2013</v>
      </c>
      <c r="B2738" t="s">
        <v>1339</v>
      </c>
      <c r="C2738" t="s">
        <v>1343</v>
      </c>
    </row>
    <row r="2739" spans="1:3" x14ac:dyDescent="0.2">
      <c r="A2739" t="s">
        <v>5869</v>
      </c>
      <c r="B2739" t="s">
        <v>1339</v>
      </c>
      <c r="C2739" t="s">
        <v>1343</v>
      </c>
    </row>
    <row r="2740" spans="1:3" x14ac:dyDescent="0.2">
      <c r="A2740" t="s">
        <v>6501</v>
      </c>
      <c r="B2740" t="s">
        <v>1339</v>
      </c>
      <c r="C2740" t="s">
        <v>1343</v>
      </c>
    </row>
    <row r="2741" spans="1:3" x14ac:dyDescent="0.2">
      <c r="A2741" t="s">
        <v>5870</v>
      </c>
      <c r="B2741" t="s">
        <v>1339</v>
      </c>
      <c r="C2741" t="s">
        <v>1343</v>
      </c>
    </row>
    <row r="2742" spans="1:3" x14ac:dyDescent="0.2">
      <c r="A2742" t="s">
        <v>5605</v>
      </c>
      <c r="B2742" t="s">
        <v>1339</v>
      </c>
      <c r="C2742" t="s">
        <v>1343</v>
      </c>
    </row>
    <row r="2743" spans="1:3" x14ac:dyDescent="0.2">
      <c r="A2743" t="s">
        <v>2014</v>
      </c>
      <c r="B2743" t="s">
        <v>1339</v>
      </c>
      <c r="C2743" t="s">
        <v>1343</v>
      </c>
    </row>
    <row r="2744" spans="1:3" x14ac:dyDescent="0.2">
      <c r="A2744" t="s">
        <v>4952</v>
      </c>
      <c r="B2744" t="s">
        <v>1339</v>
      </c>
      <c r="C2744" t="s">
        <v>1343</v>
      </c>
    </row>
    <row r="2745" spans="1:3" x14ac:dyDescent="0.2">
      <c r="A2745" t="s">
        <v>5871</v>
      </c>
      <c r="B2745" t="s">
        <v>1339</v>
      </c>
      <c r="C2745" t="s">
        <v>1343</v>
      </c>
    </row>
    <row r="2746" spans="1:3" x14ac:dyDescent="0.2">
      <c r="A2746" t="s">
        <v>5512</v>
      </c>
      <c r="B2746" t="s">
        <v>1339</v>
      </c>
      <c r="C2746" t="s">
        <v>1343</v>
      </c>
    </row>
    <row r="2747" spans="1:3" x14ac:dyDescent="0.2">
      <c r="A2747" t="s">
        <v>2015</v>
      </c>
      <c r="B2747" t="s">
        <v>1339</v>
      </c>
      <c r="C2747" t="s">
        <v>1343</v>
      </c>
    </row>
    <row r="2748" spans="1:3" x14ac:dyDescent="0.2">
      <c r="A2748" t="s">
        <v>2016</v>
      </c>
      <c r="B2748" t="s">
        <v>1339</v>
      </c>
      <c r="C2748" t="s">
        <v>1343</v>
      </c>
    </row>
    <row r="2749" spans="1:3" x14ac:dyDescent="0.2">
      <c r="A2749" t="s">
        <v>5872</v>
      </c>
      <c r="B2749" t="s">
        <v>1339</v>
      </c>
      <c r="C2749" t="s">
        <v>1343</v>
      </c>
    </row>
    <row r="2750" spans="1:3" x14ac:dyDescent="0.2">
      <c r="A2750" t="s">
        <v>5606</v>
      </c>
      <c r="B2750" t="s">
        <v>1339</v>
      </c>
      <c r="C2750" t="s">
        <v>1343</v>
      </c>
    </row>
    <row r="2751" spans="1:3" x14ac:dyDescent="0.2">
      <c r="A2751" t="s">
        <v>5513</v>
      </c>
      <c r="B2751" t="s">
        <v>1339</v>
      </c>
      <c r="C2751" t="s">
        <v>1343</v>
      </c>
    </row>
    <row r="2752" spans="1:3" x14ac:dyDescent="0.2">
      <c r="A2752" t="s">
        <v>2017</v>
      </c>
      <c r="B2752" t="s">
        <v>1339</v>
      </c>
      <c r="C2752" t="s">
        <v>1343</v>
      </c>
    </row>
    <row r="2753" spans="1:3" x14ac:dyDescent="0.2">
      <c r="A2753" t="s">
        <v>2018</v>
      </c>
      <c r="B2753" t="s">
        <v>1339</v>
      </c>
      <c r="C2753" t="s">
        <v>1343</v>
      </c>
    </row>
    <row r="2754" spans="1:3" x14ac:dyDescent="0.2">
      <c r="A2754" t="s">
        <v>2019</v>
      </c>
      <c r="B2754" t="s">
        <v>1339</v>
      </c>
      <c r="C2754" t="s">
        <v>1343</v>
      </c>
    </row>
    <row r="2755" spans="1:3" x14ac:dyDescent="0.2">
      <c r="A2755" t="s">
        <v>5873</v>
      </c>
      <c r="B2755" t="s">
        <v>1339</v>
      </c>
      <c r="C2755" t="s">
        <v>1343</v>
      </c>
    </row>
    <row r="2756" spans="1:3" x14ac:dyDescent="0.2">
      <c r="A2756" t="s">
        <v>2020</v>
      </c>
      <c r="B2756" t="s">
        <v>1339</v>
      </c>
      <c r="C2756" t="s">
        <v>1343</v>
      </c>
    </row>
    <row r="2757" spans="1:3" x14ac:dyDescent="0.2">
      <c r="A2757" t="s">
        <v>6502</v>
      </c>
      <c r="B2757" t="s">
        <v>1339</v>
      </c>
      <c r="C2757" t="s">
        <v>1343</v>
      </c>
    </row>
    <row r="2758" spans="1:3" x14ac:dyDescent="0.2">
      <c r="A2758" t="s">
        <v>2021</v>
      </c>
      <c r="B2758" t="s">
        <v>1339</v>
      </c>
      <c r="C2758" t="s">
        <v>1343</v>
      </c>
    </row>
    <row r="2759" spans="1:3" x14ac:dyDescent="0.2">
      <c r="A2759" t="s">
        <v>2022</v>
      </c>
      <c r="B2759" t="s">
        <v>1339</v>
      </c>
      <c r="C2759" t="s">
        <v>1343</v>
      </c>
    </row>
    <row r="2760" spans="1:3" x14ac:dyDescent="0.2">
      <c r="A2760" t="s">
        <v>2023</v>
      </c>
      <c r="B2760" t="s">
        <v>1339</v>
      </c>
      <c r="C2760" t="s">
        <v>1343</v>
      </c>
    </row>
    <row r="2761" spans="1:3" x14ac:dyDescent="0.2">
      <c r="A2761" t="s">
        <v>2024</v>
      </c>
      <c r="B2761" t="s">
        <v>1339</v>
      </c>
      <c r="C2761" t="s">
        <v>1343</v>
      </c>
    </row>
    <row r="2762" spans="1:3" x14ac:dyDescent="0.2">
      <c r="A2762" t="s">
        <v>5874</v>
      </c>
      <c r="B2762" t="s">
        <v>1339</v>
      </c>
      <c r="C2762" t="s">
        <v>1343</v>
      </c>
    </row>
    <row r="2763" spans="1:3" x14ac:dyDescent="0.2">
      <c r="A2763" t="s">
        <v>2025</v>
      </c>
      <c r="B2763" t="s">
        <v>1339</v>
      </c>
      <c r="C2763" t="s">
        <v>1343</v>
      </c>
    </row>
    <row r="2764" spans="1:3" x14ac:dyDescent="0.2">
      <c r="A2764" t="s">
        <v>5514</v>
      </c>
      <c r="B2764" t="s">
        <v>1339</v>
      </c>
      <c r="C2764" t="s">
        <v>1343</v>
      </c>
    </row>
    <row r="2765" spans="1:3" x14ac:dyDescent="0.2">
      <c r="A2765" t="s">
        <v>5875</v>
      </c>
      <c r="B2765" t="s">
        <v>1339</v>
      </c>
      <c r="C2765" t="s">
        <v>1343</v>
      </c>
    </row>
    <row r="2766" spans="1:3" x14ac:dyDescent="0.2">
      <c r="A2766" t="s">
        <v>5515</v>
      </c>
      <c r="B2766" t="s">
        <v>1339</v>
      </c>
      <c r="C2766" t="s">
        <v>1343</v>
      </c>
    </row>
    <row r="2767" spans="1:3" x14ac:dyDescent="0.2">
      <c r="A2767" t="s">
        <v>2026</v>
      </c>
      <c r="B2767" t="s">
        <v>1339</v>
      </c>
      <c r="C2767" t="s">
        <v>1343</v>
      </c>
    </row>
    <row r="2768" spans="1:3" x14ac:dyDescent="0.2">
      <c r="A2768" t="s">
        <v>2027</v>
      </c>
      <c r="B2768" t="s">
        <v>1339</v>
      </c>
      <c r="C2768" t="s">
        <v>1343</v>
      </c>
    </row>
    <row r="2769" spans="1:3" x14ac:dyDescent="0.2">
      <c r="A2769" t="s">
        <v>5516</v>
      </c>
      <c r="B2769" t="s">
        <v>1339</v>
      </c>
      <c r="C2769" t="s">
        <v>1343</v>
      </c>
    </row>
    <row r="2770" spans="1:3" x14ac:dyDescent="0.2">
      <c r="A2770" t="s">
        <v>5876</v>
      </c>
      <c r="B2770" t="s">
        <v>1339</v>
      </c>
      <c r="C2770" t="s">
        <v>1343</v>
      </c>
    </row>
    <row r="2771" spans="1:3" x14ac:dyDescent="0.2">
      <c r="A2771" t="s">
        <v>2028</v>
      </c>
      <c r="B2771" t="s">
        <v>1339</v>
      </c>
      <c r="C2771" t="s">
        <v>1343</v>
      </c>
    </row>
    <row r="2772" spans="1:3" x14ac:dyDescent="0.2">
      <c r="A2772" t="s">
        <v>5877</v>
      </c>
      <c r="B2772" t="s">
        <v>1339</v>
      </c>
      <c r="C2772" t="s">
        <v>1343</v>
      </c>
    </row>
    <row r="2773" spans="1:3" x14ac:dyDescent="0.2">
      <c r="A2773" t="s">
        <v>2029</v>
      </c>
      <c r="B2773" t="s">
        <v>1339</v>
      </c>
      <c r="C2773" t="s">
        <v>1343</v>
      </c>
    </row>
    <row r="2774" spans="1:3" x14ac:dyDescent="0.2">
      <c r="A2774" t="s">
        <v>6503</v>
      </c>
      <c r="B2774" t="s">
        <v>1339</v>
      </c>
      <c r="C2774" t="s">
        <v>1343</v>
      </c>
    </row>
    <row r="2775" spans="1:3" x14ac:dyDescent="0.2">
      <c r="A2775" t="s">
        <v>6504</v>
      </c>
      <c r="B2775" t="s">
        <v>1339</v>
      </c>
      <c r="C2775" t="s">
        <v>1343</v>
      </c>
    </row>
    <row r="2776" spans="1:3" x14ac:dyDescent="0.2">
      <c r="A2776" t="s">
        <v>5223</v>
      </c>
      <c r="B2776" t="s">
        <v>1339</v>
      </c>
      <c r="C2776" t="s">
        <v>1343</v>
      </c>
    </row>
    <row r="2777" spans="1:3" x14ac:dyDescent="0.2">
      <c r="A2777" t="s">
        <v>2030</v>
      </c>
      <c r="B2777" t="s">
        <v>1339</v>
      </c>
      <c r="C2777" t="s">
        <v>1343</v>
      </c>
    </row>
    <row r="2778" spans="1:3" x14ac:dyDescent="0.2">
      <c r="A2778" t="s">
        <v>2031</v>
      </c>
      <c r="B2778" t="s">
        <v>1339</v>
      </c>
      <c r="C2778" t="s">
        <v>1343</v>
      </c>
    </row>
    <row r="2779" spans="1:3" x14ac:dyDescent="0.2">
      <c r="A2779" t="s">
        <v>6505</v>
      </c>
      <c r="B2779" t="s">
        <v>1339</v>
      </c>
      <c r="C2779" t="s">
        <v>1343</v>
      </c>
    </row>
    <row r="2780" spans="1:3" x14ac:dyDescent="0.2">
      <c r="A2780" t="s">
        <v>6506</v>
      </c>
      <c r="B2780" t="s">
        <v>1339</v>
      </c>
      <c r="C2780" t="s">
        <v>1343</v>
      </c>
    </row>
    <row r="2781" spans="1:3" x14ac:dyDescent="0.2">
      <c r="A2781" t="s">
        <v>2032</v>
      </c>
      <c r="B2781" t="s">
        <v>1339</v>
      </c>
      <c r="C2781" t="s">
        <v>1343</v>
      </c>
    </row>
    <row r="2782" spans="1:3" x14ac:dyDescent="0.2">
      <c r="A2782" t="s">
        <v>2033</v>
      </c>
      <c r="B2782" t="s">
        <v>1339</v>
      </c>
      <c r="C2782" t="s">
        <v>1343</v>
      </c>
    </row>
    <row r="2783" spans="1:3" x14ac:dyDescent="0.2">
      <c r="A2783" t="s">
        <v>2034</v>
      </c>
      <c r="B2783" t="s">
        <v>1339</v>
      </c>
      <c r="C2783" t="s">
        <v>1343</v>
      </c>
    </row>
    <row r="2784" spans="1:3" x14ac:dyDescent="0.2">
      <c r="A2784" t="s">
        <v>2035</v>
      </c>
      <c r="B2784" t="s">
        <v>1339</v>
      </c>
      <c r="C2784" t="s">
        <v>1343</v>
      </c>
    </row>
    <row r="2785" spans="1:3" x14ac:dyDescent="0.2">
      <c r="A2785" t="s">
        <v>5878</v>
      </c>
      <c r="B2785" t="s">
        <v>1339</v>
      </c>
      <c r="C2785" t="s">
        <v>1343</v>
      </c>
    </row>
    <row r="2786" spans="1:3" x14ac:dyDescent="0.2">
      <c r="A2786" t="s">
        <v>5879</v>
      </c>
      <c r="B2786" t="s">
        <v>1339</v>
      </c>
      <c r="C2786" t="s">
        <v>1343</v>
      </c>
    </row>
    <row r="2787" spans="1:3" x14ac:dyDescent="0.2">
      <c r="A2787" t="s">
        <v>6507</v>
      </c>
      <c r="B2787" t="s">
        <v>1339</v>
      </c>
      <c r="C2787" t="s">
        <v>1343</v>
      </c>
    </row>
    <row r="2788" spans="1:3" x14ac:dyDescent="0.2">
      <c r="A2788" t="s">
        <v>5880</v>
      </c>
      <c r="B2788" t="s">
        <v>1339</v>
      </c>
      <c r="C2788" t="s">
        <v>1343</v>
      </c>
    </row>
    <row r="2789" spans="1:3" x14ac:dyDescent="0.2">
      <c r="A2789" t="s">
        <v>2036</v>
      </c>
      <c r="B2789" t="s">
        <v>1339</v>
      </c>
      <c r="C2789" t="s">
        <v>1343</v>
      </c>
    </row>
    <row r="2790" spans="1:3" x14ac:dyDescent="0.2">
      <c r="A2790" t="s">
        <v>2037</v>
      </c>
      <c r="B2790" t="s">
        <v>1339</v>
      </c>
      <c r="C2790" t="s">
        <v>1343</v>
      </c>
    </row>
    <row r="2791" spans="1:3" x14ac:dyDescent="0.2">
      <c r="A2791" t="s">
        <v>2038</v>
      </c>
      <c r="B2791" t="s">
        <v>1339</v>
      </c>
      <c r="C2791" t="s">
        <v>1343</v>
      </c>
    </row>
    <row r="2792" spans="1:3" x14ac:dyDescent="0.2">
      <c r="A2792" t="s">
        <v>2039</v>
      </c>
      <c r="B2792" t="s">
        <v>1339</v>
      </c>
      <c r="C2792" t="s">
        <v>1343</v>
      </c>
    </row>
    <row r="2793" spans="1:3" x14ac:dyDescent="0.2">
      <c r="A2793" t="s">
        <v>2040</v>
      </c>
      <c r="B2793" t="s">
        <v>1339</v>
      </c>
      <c r="C2793" t="s">
        <v>1343</v>
      </c>
    </row>
    <row r="2794" spans="1:3" x14ac:dyDescent="0.2">
      <c r="A2794" t="s">
        <v>2041</v>
      </c>
      <c r="B2794" t="s">
        <v>1339</v>
      </c>
      <c r="C2794" t="s">
        <v>1343</v>
      </c>
    </row>
    <row r="2795" spans="1:3" x14ac:dyDescent="0.2">
      <c r="A2795" t="s">
        <v>6508</v>
      </c>
      <c r="B2795" t="s">
        <v>1339</v>
      </c>
      <c r="C2795" t="s">
        <v>1343</v>
      </c>
    </row>
    <row r="2796" spans="1:3" x14ac:dyDescent="0.2">
      <c r="A2796" t="s">
        <v>2042</v>
      </c>
      <c r="B2796" t="s">
        <v>1339</v>
      </c>
      <c r="C2796" t="s">
        <v>1343</v>
      </c>
    </row>
    <row r="2797" spans="1:3" x14ac:dyDescent="0.2">
      <c r="A2797" t="s">
        <v>2043</v>
      </c>
      <c r="B2797" t="s">
        <v>1339</v>
      </c>
      <c r="C2797" t="s">
        <v>1343</v>
      </c>
    </row>
    <row r="2798" spans="1:3" x14ac:dyDescent="0.2">
      <c r="A2798" t="s">
        <v>2044</v>
      </c>
      <c r="B2798" t="s">
        <v>1339</v>
      </c>
      <c r="C2798" t="s">
        <v>1343</v>
      </c>
    </row>
    <row r="2799" spans="1:3" x14ac:dyDescent="0.2">
      <c r="A2799" t="s">
        <v>5881</v>
      </c>
      <c r="B2799" t="s">
        <v>1339</v>
      </c>
      <c r="C2799" t="s">
        <v>1343</v>
      </c>
    </row>
    <row r="2800" spans="1:3" x14ac:dyDescent="0.2">
      <c r="A2800" t="s">
        <v>2045</v>
      </c>
      <c r="B2800" t="s">
        <v>1339</v>
      </c>
      <c r="C2800" t="s">
        <v>1343</v>
      </c>
    </row>
    <row r="2801" spans="1:3" x14ac:dyDescent="0.2">
      <c r="A2801" t="s">
        <v>5882</v>
      </c>
      <c r="B2801" t="s">
        <v>1339</v>
      </c>
      <c r="C2801" t="s">
        <v>1343</v>
      </c>
    </row>
    <row r="2802" spans="1:3" x14ac:dyDescent="0.2">
      <c r="A2802" t="s">
        <v>6509</v>
      </c>
      <c r="B2802" t="s">
        <v>1339</v>
      </c>
      <c r="C2802" t="s">
        <v>1343</v>
      </c>
    </row>
    <row r="2803" spans="1:3" x14ac:dyDescent="0.2">
      <c r="A2803" t="s">
        <v>2046</v>
      </c>
      <c r="B2803" t="s">
        <v>1339</v>
      </c>
      <c r="C2803" t="s">
        <v>1343</v>
      </c>
    </row>
    <row r="2804" spans="1:3" x14ac:dyDescent="0.2">
      <c r="A2804" t="s">
        <v>2047</v>
      </c>
      <c r="B2804" t="s">
        <v>1339</v>
      </c>
      <c r="C2804" t="s">
        <v>1343</v>
      </c>
    </row>
    <row r="2805" spans="1:3" x14ac:dyDescent="0.2">
      <c r="A2805" t="s">
        <v>5883</v>
      </c>
      <c r="B2805" t="s">
        <v>1339</v>
      </c>
      <c r="C2805" t="s">
        <v>1343</v>
      </c>
    </row>
    <row r="2806" spans="1:3" x14ac:dyDescent="0.2">
      <c r="A2806" t="s">
        <v>5224</v>
      </c>
      <c r="B2806" t="s">
        <v>1339</v>
      </c>
      <c r="C2806" t="s">
        <v>1343</v>
      </c>
    </row>
    <row r="2807" spans="1:3" x14ac:dyDescent="0.2">
      <c r="A2807" t="s">
        <v>2048</v>
      </c>
      <c r="B2807" t="s">
        <v>1339</v>
      </c>
      <c r="C2807" t="s">
        <v>1343</v>
      </c>
    </row>
    <row r="2808" spans="1:3" x14ac:dyDescent="0.2">
      <c r="A2808" t="s">
        <v>2049</v>
      </c>
      <c r="B2808" t="s">
        <v>1339</v>
      </c>
      <c r="C2808" t="s">
        <v>1343</v>
      </c>
    </row>
    <row r="2809" spans="1:3" x14ac:dyDescent="0.2">
      <c r="A2809" t="s">
        <v>5884</v>
      </c>
      <c r="B2809" t="s">
        <v>1339</v>
      </c>
      <c r="C2809" t="s">
        <v>1343</v>
      </c>
    </row>
    <row r="2810" spans="1:3" x14ac:dyDescent="0.2">
      <c r="A2810" t="s">
        <v>2050</v>
      </c>
      <c r="B2810" t="s">
        <v>1339</v>
      </c>
      <c r="C2810" t="s">
        <v>1343</v>
      </c>
    </row>
    <row r="2811" spans="1:3" x14ac:dyDescent="0.2">
      <c r="A2811" t="s">
        <v>5517</v>
      </c>
      <c r="B2811" t="s">
        <v>1339</v>
      </c>
      <c r="C2811" t="s">
        <v>1343</v>
      </c>
    </row>
    <row r="2812" spans="1:3" x14ac:dyDescent="0.2">
      <c r="A2812" t="s">
        <v>5885</v>
      </c>
      <c r="B2812" t="s">
        <v>1339</v>
      </c>
      <c r="C2812" t="s">
        <v>1343</v>
      </c>
    </row>
    <row r="2813" spans="1:3" x14ac:dyDescent="0.2">
      <c r="A2813" t="s">
        <v>2051</v>
      </c>
      <c r="B2813" t="s">
        <v>1339</v>
      </c>
      <c r="C2813" t="s">
        <v>1343</v>
      </c>
    </row>
    <row r="2814" spans="1:3" x14ac:dyDescent="0.2">
      <c r="A2814" t="s">
        <v>2052</v>
      </c>
      <c r="B2814" t="s">
        <v>1339</v>
      </c>
      <c r="C2814" t="s">
        <v>1343</v>
      </c>
    </row>
    <row r="2815" spans="1:3" x14ac:dyDescent="0.2">
      <c r="A2815" t="s">
        <v>5886</v>
      </c>
      <c r="B2815" t="s">
        <v>1339</v>
      </c>
      <c r="C2815" t="s">
        <v>1343</v>
      </c>
    </row>
    <row r="2816" spans="1:3" x14ac:dyDescent="0.2">
      <c r="A2816" t="s">
        <v>6510</v>
      </c>
      <c r="B2816" t="s">
        <v>1339</v>
      </c>
      <c r="C2816" t="s">
        <v>1343</v>
      </c>
    </row>
    <row r="2817" spans="1:3" x14ac:dyDescent="0.2">
      <c r="A2817" t="s">
        <v>5518</v>
      </c>
      <c r="B2817" t="s">
        <v>1339</v>
      </c>
      <c r="C2817" t="s">
        <v>1343</v>
      </c>
    </row>
    <row r="2818" spans="1:3" x14ac:dyDescent="0.2">
      <c r="A2818" t="s">
        <v>5225</v>
      </c>
      <c r="B2818" t="s">
        <v>1339</v>
      </c>
      <c r="C2818" t="s">
        <v>1343</v>
      </c>
    </row>
    <row r="2819" spans="1:3" x14ac:dyDescent="0.2">
      <c r="A2819" t="s">
        <v>5085</v>
      </c>
      <c r="B2819" t="s">
        <v>1339</v>
      </c>
      <c r="C2819" t="s">
        <v>1343</v>
      </c>
    </row>
    <row r="2820" spans="1:3" x14ac:dyDescent="0.2">
      <c r="A2820" t="s">
        <v>2053</v>
      </c>
      <c r="B2820" t="s">
        <v>1339</v>
      </c>
      <c r="C2820" t="s">
        <v>1343</v>
      </c>
    </row>
    <row r="2821" spans="1:3" x14ac:dyDescent="0.2">
      <c r="A2821" t="s">
        <v>5718</v>
      </c>
      <c r="B2821" t="s">
        <v>1339</v>
      </c>
      <c r="C2821" t="s">
        <v>1340</v>
      </c>
    </row>
    <row r="2822" spans="1:3" x14ac:dyDescent="0.2">
      <c r="A2822" t="s">
        <v>2054</v>
      </c>
      <c r="B2822" t="s">
        <v>1339</v>
      </c>
      <c r="C2822" t="s">
        <v>1343</v>
      </c>
    </row>
    <row r="2823" spans="1:3" x14ac:dyDescent="0.2">
      <c r="A2823" t="s">
        <v>6511</v>
      </c>
      <c r="B2823" t="s">
        <v>1339</v>
      </c>
      <c r="C2823" t="s">
        <v>1343</v>
      </c>
    </row>
    <row r="2824" spans="1:3" x14ac:dyDescent="0.2">
      <c r="A2824" t="s">
        <v>5887</v>
      </c>
      <c r="B2824" t="s">
        <v>1339</v>
      </c>
      <c r="C2824" t="s">
        <v>1343</v>
      </c>
    </row>
    <row r="2825" spans="1:3" x14ac:dyDescent="0.2">
      <c r="A2825" t="s">
        <v>2055</v>
      </c>
      <c r="B2825" t="s">
        <v>1339</v>
      </c>
      <c r="C2825" t="s">
        <v>1343</v>
      </c>
    </row>
    <row r="2826" spans="1:3" x14ac:dyDescent="0.2">
      <c r="A2826" t="s">
        <v>2056</v>
      </c>
      <c r="B2826" t="s">
        <v>1339</v>
      </c>
      <c r="C2826" t="s">
        <v>1343</v>
      </c>
    </row>
    <row r="2827" spans="1:3" x14ac:dyDescent="0.2">
      <c r="A2827" t="s">
        <v>5888</v>
      </c>
      <c r="B2827" t="s">
        <v>1339</v>
      </c>
      <c r="C2827" t="s">
        <v>1343</v>
      </c>
    </row>
    <row r="2828" spans="1:3" x14ac:dyDescent="0.2">
      <c r="A2828" t="s">
        <v>2057</v>
      </c>
      <c r="B2828" t="s">
        <v>1339</v>
      </c>
      <c r="C2828" t="s">
        <v>1343</v>
      </c>
    </row>
    <row r="2829" spans="1:3" x14ac:dyDescent="0.2">
      <c r="A2829" t="s">
        <v>2058</v>
      </c>
      <c r="B2829" t="s">
        <v>1339</v>
      </c>
      <c r="C2829" t="s">
        <v>1343</v>
      </c>
    </row>
    <row r="2830" spans="1:3" x14ac:dyDescent="0.2">
      <c r="A2830" t="s">
        <v>5519</v>
      </c>
      <c r="B2830" t="s">
        <v>1339</v>
      </c>
      <c r="C2830" t="s">
        <v>1343</v>
      </c>
    </row>
    <row r="2831" spans="1:3" x14ac:dyDescent="0.2">
      <c r="A2831" t="s">
        <v>4592</v>
      </c>
      <c r="B2831" t="s">
        <v>1339</v>
      </c>
      <c r="C2831" t="s">
        <v>1343</v>
      </c>
    </row>
    <row r="2832" spans="1:3" x14ac:dyDescent="0.2">
      <c r="A2832" t="s">
        <v>5607</v>
      </c>
      <c r="B2832" t="s">
        <v>1339</v>
      </c>
      <c r="C2832" t="s">
        <v>1343</v>
      </c>
    </row>
    <row r="2833" spans="1:3" x14ac:dyDescent="0.2">
      <c r="A2833" t="s">
        <v>2059</v>
      </c>
      <c r="B2833" t="s">
        <v>1339</v>
      </c>
      <c r="C2833" t="s">
        <v>1343</v>
      </c>
    </row>
    <row r="2834" spans="1:3" x14ac:dyDescent="0.2">
      <c r="A2834" t="s">
        <v>2060</v>
      </c>
      <c r="B2834" t="s">
        <v>1339</v>
      </c>
      <c r="C2834" t="s">
        <v>1343</v>
      </c>
    </row>
    <row r="2835" spans="1:3" x14ac:dyDescent="0.2">
      <c r="A2835" t="s">
        <v>6512</v>
      </c>
      <c r="B2835" t="s">
        <v>1339</v>
      </c>
      <c r="C2835" t="s">
        <v>1343</v>
      </c>
    </row>
    <row r="2836" spans="1:3" x14ac:dyDescent="0.2">
      <c r="A2836" t="s">
        <v>5086</v>
      </c>
      <c r="B2836" t="s">
        <v>1339</v>
      </c>
      <c r="C2836" t="s">
        <v>1343</v>
      </c>
    </row>
    <row r="2837" spans="1:3" x14ac:dyDescent="0.2">
      <c r="A2837" t="s">
        <v>2061</v>
      </c>
      <c r="B2837" t="s">
        <v>1339</v>
      </c>
      <c r="C2837" t="s">
        <v>1343</v>
      </c>
    </row>
    <row r="2838" spans="1:3" x14ac:dyDescent="0.2">
      <c r="A2838" t="s">
        <v>2062</v>
      </c>
      <c r="B2838" t="s">
        <v>1339</v>
      </c>
      <c r="C2838" t="s">
        <v>1343</v>
      </c>
    </row>
    <row r="2839" spans="1:3" x14ac:dyDescent="0.2">
      <c r="A2839" t="s">
        <v>5889</v>
      </c>
      <c r="B2839" t="s">
        <v>1339</v>
      </c>
      <c r="C2839" t="s">
        <v>1343</v>
      </c>
    </row>
    <row r="2840" spans="1:3" x14ac:dyDescent="0.2">
      <c r="A2840" t="s">
        <v>5520</v>
      </c>
      <c r="B2840" t="s">
        <v>1339</v>
      </c>
      <c r="C2840" t="s">
        <v>1343</v>
      </c>
    </row>
    <row r="2841" spans="1:3" x14ac:dyDescent="0.2">
      <c r="A2841" t="s">
        <v>2063</v>
      </c>
      <c r="B2841" t="s">
        <v>1339</v>
      </c>
      <c r="C2841" t="s">
        <v>1343</v>
      </c>
    </row>
    <row r="2842" spans="1:3" x14ac:dyDescent="0.2">
      <c r="A2842" t="s">
        <v>5608</v>
      </c>
      <c r="B2842" t="s">
        <v>1339</v>
      </c>
      <c r="C2842" t="s">
        <v>1343</v>
      </c>
    </row>
    <row r="2843" spans="1:3" x14ac:dyDescent="0.2">
      <c r="A2843" t="s">
        <v>5609</v>
      </c>
      <c r="B2843" t="s">
        <v>1339</v>
      </c>
      <c r="C2843" t="s">
        <v>1343</v>
      </c>
    </row>
    <row r="2844" spans="1:3" x14ac:dyDescent="0.2">
      <c r="A2844" t="s">
        <v>5890</v>
      </c>
      <c r="B2844" t="s">
        <v>1339</v>
      </c>
      <c r="C2844" t="s">
        <v>1343</v>
      </c>
    </row>
    <row r="2845" spans="1:3" x14ac:dyDescent="0.2">
      <c r="A2845" t="s">
        <v>5087</v>
      </c>
      <c r="B2845" t="s">
        <v>1339</v>
      </c>
      <c r="C2845" t="s">
        <v>1343</v>
      </c>
    </row>
    <row r="2846" spans="1:3" x14ac:dyDescent="0.2">
      <c r="A2846" t="s">
        <v>2064</v>
      </c>
      <c r="B2846" t="s">
        <v>1339</v>
      </c>
      <c r="C2846" t="s">
        <v>1343</v>
      </c>
    </row>
    <row r="2847" spans="1:3" x14ac:dyDescent="0.2">
      <c r="A2847" t="s">
        <v>2065</v>
      </c>
      <c r="B2847" t="s">
        <v>1339</v>
      </c>
      <c r="C2847" t="s">
        <v>1343</v>
      </c>
    </row>
    <row r="2848" spans="1:3" x14ac:dyDescent="0.2">
      <c r="A2848" t="s">
        <v>2066</v>
      </c>
      <c r="B2848" t="s">
        <v>1339</v>
      </c>
      <c r="C2848" t="s">
        <v>1343</v>
      </c>
    </row>
    <row r="2849" spans="1:3" x14ac:dyDescent="0.2">
      <c r="A2849" t="s">
        <v>5891</v>
      </c>
      <c r="B2849" t="s">
        <v>1339</v>
      </c>
      <c r="C2849" t="s">
        <v>1343</v>
      </c>
    </row>
    <row r="2850" spans="1:3" x14ac:dyDescent="0.2">
      <c r="A2850" t="s">
        <v>5521</v>
      </c>
      <c r="B2850" t="s">
        <v>1339</v>
      </c>
      <c r="C2850" t="s">
        <v>1343</v>
      </c>
    </row>
    <row r="2851" spans="1:3" x14ac:dyDescent="0.2">
      <c r="A2851" t="s">
        <v>5892</v>
      </c>
      <c r="B2851" t="s">
        <v>1339</v>
      </c>
      <c r="C2851" t="s">
        <v>1343</v>
      </c>
    </row>
    <row r="2852" spans="1:3" x14ac:dyDescent="0.2">
      <c r="A2852" t="s">
        <v>6513</v>
      </c>
      <c r="B2852" t="s">
        <v>1339</v>
      </c>
      <c r="C2852" t="s">
        <v>1343</v>
      </c>
    </row>
    <row r="2853" spans="1:3" x14ac:dyDescent="0.2">
      <c r="A2853" t="s">
        <v>2067</v>
      </c>
      <c r="B2853" t="s">
        <v>1339</v>
      </c>
      <c r="C2853" t="s">
        <v>1343</v>
      </c>
    </row>
    <row r="2854" spans="1:3" x14ac:dyDescent="0.2">
      <c r="A2854" t="s">
        <v>5719</v>
      </c>
      <c r="B2854" t="s">
        <v>1339</v>
      </c>
      <c r="C2854" t="s">
        <v>1340</v>
      </c>
    </row>
    <row r="2855" spans="1:3" x14ac:dyDescent="0.2">
      <c r="A2855" t="s">
        <v>5893</v>
      </c>
      <c r="B2855" t="s">
        <v>1339</v>
      </c>
      <c r="C2855" t="s">
        <v>1343</v>
      </c>
    </row>
    <row r="2856" spans="1:3" x14ac:dyDescent="0.2">
      <c r="A2856" t="s">
        <v>2068</v>
      </c>
      <c r="B2856" t="s">
        <v>1339</v>
      </c>
      <c r="C2856" t="s">
        <v>1343</v>
      </c>
    </row>
    <row r="2857" spans="1:3" x14ac:dyDescent="0.2">
      <c r="A2857" t="s">
        <v>5522</v>
      </c>
      <c r="B2857" t="s">
        <v>1339</v>
      </c>
      <c r="C2857" t="s">
        <v>1343</v>
      </c>
    </row>
    <row r="2858" spans="1:3" x14ac:dyDescent="0.2">
      <c r="A2858" t="s">
        <v>4953</v>
      </c>
      <c r="B2858" t="s">
        <v>1339</v>
      </c>
      <c r="C2858" t="s">
        <v>1343</v>
      </c>
    </row>
    <row r="2859" spans="1:3" x14ac:dyDescent="0.2">
      <c r="A2859" t="s">
        <v>2069</v>
      </c>
      <c r="B2859" t="s">
        <v>1339</v>
      </c>
      <c r="C2859" t="s">
        <v>1343</v>
      </c>
    </row>
    <row r="2860" spans="1:3" x14ac:dyDescent="0.2">
      <c r="A2860" t="s">
        <v>5610</v>
      </c>
      <c r="B2860" t="s">
        <v>1339</v>
      </c>
      <c r="C2860" t="s">
        <v>1343</v>
      </c>
    </row>
    <row r="2861" spans="1:3" x14ac:dyDescent="0.2">
      <c r="A2861" t="s">
        <v>2070</v>
      </c>
      <c r="B2861" t="s">
        <v>1339</v>
      </c>
      <c r="C2861" t="s">
        <v>1343</v>
      </c>
    </row>
    <row r="2862" spans="1:3" x14ac:dyDescent="0.2">
      <c r="A2862" t="s">
        <v>2071</v>
      </c>
      <c r="B2862" t="s">
        <v>1339</v>
      </c>
      <c r="C2862" t="s">
        <v>1343</v>
      </c>
    </row>
    <row r="2863" spans="1:3" x14ac:dyDescent="0.2">
      <c r="A2863" t="s">
        <v>2072</v>
      </c>
      <c r="B2863" t="s">
        <v>1339</v>
      </c>
      <c r="C2863" t="s">
        <v>1343</v>
      </c>
    </row>
    <row r="2864" spans="1:3" x14ac:dyDescent="0.2">
      <c r="A2864" t="s">
        <v>2073</v>
      </c>
      <c r="B2864" t="s">
        <v>1339</v>
      </c>
      <c r="C2864" t="s">
        <v>1343</v>
      </c>
    </row>
    <row r="2865" spans="1:3" x14ac:dyDescent="0.2">
      <c r="A2865" t="s">
        <v>2074</v>
      </c>
      <c r="B2865" t="s">
        <v>1339</v>
      </c>
      <c r="C2865" t="s">
        <v>1343</v>
      </c>
    </row>
    <row r="2866" spans="1:3" x14ac:dyDescent="0.2">
      <c r="A2866" t="s">
        <v>5720</v>
      </c>
      <c r="B2866" t="s">
        <v>1339</v>
      </c>
      <c r="C2866" t="s">
        <v>1340</v>
      </c>
    </row>
    <row r="2867" spans="1:3" x14ac:dyDescent="0.2">
      <c r="A2867" t="s">
        <v>6514</v>
      </c>
      <c r="B2867" t="s">
        <v>1339</v>
      </c>
      <c r="C2867" t="s">
        <v>1343</v>
      </c>
    </row>
    <row r="2868" spans="1:3" x14ac:dyDescent="0.2">
      <c r="A2868" t="s">
        <v>2075</v>
      </c>
      <c r="B2868" t="s">
        <v>1339</v>
      </c>
      <c r="C2868" t="s">
        <v>1343</v>
      </c>
    </row>
    <row r="2869" spans="1:3" x14ac:dyDescent="0.2">
      <c r="A2869" t="s">
        <v>2076</v>
      </c>
      <c r="B2869" t="s">
        <v>1339</v>
      </c>
      <c r="C2869" t="s">
        <v>1343</v>
      </c>
    </row>
    <row r="2870" spans="1:3" x14ac:dyDescent="0.2">
      <c r="A2870" t="s">
        <v>2077</v>
      </c>
      <c r="B2870" t="s">
        <v>1339</v>
      </c>
      <c r="C2870" t="s">
        <v>1343</v>
      </c>
    </row>
    <row r="2871" spans="1:3" x14ac:dyDescent="0.2">
      <c r="A2871" t="s">
        <v>5523</v>
      </c>
      <c r="B2871" t="s">
        <v>1339</v>
      </c>
      <c r="C2871" t="s">
        <v>1343</v>
      </c>
    </row>
    <row r="2872" spans="1:3" x14ac:dyDescent="0.2">
      <c r="A2872" t="s">
        <v>5611</v>
      </c>
      <c r="B2872" t="s">
        <v>1339</v>
      </c>
      <c r="C2872" t="s">
        <v>1343</v>
      </c>
    </row>
    <row r="2873" spans="1:3" x14ac:dyDescent="0.2">
      <c r="A2873" t="s">
        <v>6515</v>
      </c>
      <c r="B2873" t="s">
        <v>1339</v>
      </c>
      <c r="C2873" t="s">
        <v>1343</v>
      </c>
    </row>
    <row r="2874" spans="1:3" x14ac:dyDescent="0.2">
      <c r="A2874" t="s">
        <v>2078</v>
      </c>
      <c r="B2874" t="s">
        <v>1339</v>
      </c>
      <c r="C2874" t="s">
        <v>1343</v>
      </c>
    </row>
    <row r="2875" spans="1:3" x14ac:dyDescent="0.2">
      <c r="A2875" t="s">
        <v>5226</v>
      </c>
      <c r="B2875" t="s">
        <v>1339</v>
      </c>
      <c r="C2875" t="s">
        <v>1343</v>
      </c>
    </row>
    <row r="2876" spans="1:3" x14ac:dyDescent="0.2">
      <c r="A2876" t="s">
        <v>2079</v>
      </c>
      <c r="B2876" t="s">
        <v>1339</v>
      </c>
      <c r="C2876" t="s">
        <v>1343</v>
      </c>
    </row>
    <row r="2877" spans="1:3" x14ac:dyDescent="0.2">
      <c r="A2877" t="s">
        <v>2080</v>
      </c>
      <c r="B2877" t="s">
        <v>1339</v>
      </c>
      <c r="C2877" t="s">
        <v>1343</v>
      </c>
    </row>
    <row r="2878" spans="1:3" x14ac:dyDescent="0.2">
      <c r="A2878" t="s">
        <v>5894</v>
      </c>
      <c r="B2878" t="s">
        <v>1339</v>
      </c>
      <c r="C2878" t="s">
        <v>1343</v>
      </c>
    </row>
    <row r="2879" spans="1:3" x14ac:dyDescent="0.2">
      <c r="A2879" t="s">
        <v>2081</v>
      </c>
      <c r="B2879" t="s">
        <v>1339</v>
      </c>
      <c r="C2879" t="s">
        <v>1343</v>
      </c>
    </row>
    <row r="2880" spans="1:3" x14ac:dyDescent="0.2">
      <c r="A2880" t="s">
        <v>2082</v>
      </c>
      <c r="B2880" t="s">
        <v>1339</v>
      </c>
      <c r="C2880" t="s">
        <v>1343</v>
      </c>
    </row>
    <row r="2881" spans="1:3" x14ac:dyDescent="0.2">
      <c r="A2881" t="s">
        <v>6516</v>
      </c>
      <c r="B2881" t="s">
        <v>1339</v>
      </c>
      <c r="C2881" t="s">
        <v>1343</v>
      </c>
    </row>
    <row r="2882" spans="1:3" x14ac:dyDescent="0.2">
      <c r="A2882" t="s">
        <v>5895</v>
      </c>
      <c r="B2882" t="s">
        <v>1339</v>
      </c>
      <c r="C2882" t="s">
        <v>1343</v>
      </c>
    </row>
    <row r="2883" spans="1:3" x14ac:dyDescent="0.2">
      <c r="A2883" t="s">
        <v>2083</v>
      </c>
      <c r="B2883" t="s">
        <v>1339</v>
      </c>
      <c r="C2883" t="s">
        <v>1343</v>
      </c>
    </row>
    <row r="2884" spans="1:3" x14ac:dyDescent="0.2">
      <c r="A2884" t="s">
        <v>2084</v>
      </c>
      <c r="B2884" t="s">
        <v>1339</v>
      </c>
      <c r="C2884" t="s">
        <v>1343</v>
      </c>
    </row>
    <row r="2885" spans="1:3" x14ac:dyDescent="0.2">
      <c r="A2885" t="s">
        <v>6517</v>
      </c>
      <c r="B2885" t="s">
        <v>1339</v>
      </c>
      <c r="C2885" t="s">
        <v>1343</v>
      </c>
    </row>
    <row r="2886" spans="1:3" x14ac:dyDescent="0.2">
      <c r="A2886" t="s">
        <v>2085</v>
      </c>
      <c r="B2886" t="s">
        <v>1339</v>
      </c>
      <c r="C2886" t="s">
        <v>1343</v>
      </c>
    </row>
    <row r="2887" spans="1:3" x14ac:dyDescent="0.2">
      <c r="A2887" t="s">
        <v>6518</v>
      </c>
      <c r="B2887" t="s">
        <v>1339</v>
      </c>
      <c r="C2887" t="s">
        <v>1343</v>
      </c>
    </row>
    <row r="2888" spans="1:3" x14ac:dyDescent="0.2">
      <c r="A2888" t="s">
        <v>2086</v>
      </c>
      <c r="B2888" t="s">
        <v>1339</v>
      </c>
      <c r="C2888" t="s">
        <v>1343</v>
      </c>
    </row>
    <row r="2889" spans="1:3" x14ac:dyDescent="0.2">
      <c r="A2889" t="s">
        <v>2087</v>
      </c>
      <c r="B2889" t="s">
        <v>1339</v>
      </c>
      <c r="C2889" t="s">
        <v>1343</v>
      </c>
    </row>
    <row r="2890" spans="1:3" x14ac:dyDescent="0.2">
      <c r="A2890" t="s">
        <v>2088</v>
      </c>
      <c r="B2890" t="s">
        <v>1339</v>
      </c>
      <c r="C2890" t="s">
        <v>1343</v>
      </c>
    </row>
    <row r="2891" spans="1:3" x14ac:dyDescent="0.2">
      <c r="A2891" t="s">
        <v>5524</v>
      </c>
      <c r="B2891" t="s">
        <v>1339</v>
      </c>
      <c r="C2891" t="s">
        <v>1343</v>
      </c>
    </row>
    <row r="2892" spans="1:3" x14ac:dyDescent="0.2">
      <c r="A2892" t="s">
        <v>2089</v>
      </c>
      <c r="B2892" t="s">
        <v>1339</v>
      </c>
      <c r="C2892" t="s">
        <v>1343</v>
      </c>
    </row>
    <row r="2893" spans="1:3" x14ac:dyDescent="0.2">
      <c r="A2893" t="s">
        <v>2090</v>
      </c>
      <c r="B2893" t="s">
        <v>1339</v>
      </c>
      <c r="C2893" t="s">
        <v>1343</v>
      </c>
    </row>
    <row r="2894" spans="1:3" x14ac:dyDescent="0.2">
      <c r="A2894" t="s">
        <v>2091</v>
      </c>
      <c r="B2894" t="s">
        <v>1339</v>
      </c>
      <c r="C2894" t="s">
        <v>1343</v>
      </c>
    </row>
    <row r="2895" spans="1:3" x14ac:dyDescent="0.2">
      <c r="A2895" t="s">
        <v>2092</v>
      </c>
      <c r="B2895" t="s">
        <v>1339</v>
      </c>
      <c r="C2895" t="s">
        <v>1343</v>
      </c>
    </row>
    <row r="2896" spans="1:3" x14ac:dyDescent="0.2">
      <c r="A2896" t="s">
        <v>2093</v>
      </c>
      <c r="B2896" t="s">
        <v>1339</v>
      </c>
      <c r="C2896" t="s">
        <v>1343</v>
      </c>
    </row>
    <row r="2897" spans="1:3" x14ac:dyDescent="0.2">
      <c r="A2897" t="s">
        <v>2094</v>
      </c>
      <c r="B2897" t="s">
        <v>1339</v>
      </c>
      <c r="C2897" t="s">
        <v>1343</v>
      </c>
    </row>
    <row r="2898" spans="1:3" x14ac:dyDescent="0.2">
      <c r="A2898" t="s">
        <v>5896</v>
      </c>
      <c r="B2898" t="s">
        <v>1339</v>
      </c>
      <c r="C2898" t="s">
        <v>1343</v>
      </c>
    </row>
    <row r="2899" spans="1:3" x14ac:dyDescent="0.2">
      <c r="A2899" t="s">
        <v>2095</v>
      </c>
      <c r="B2899" t="s">
        <v>1339</v>
      </c>
      <c r="C2899" t="s">
        <v>1343</v>
      </c>
    </row>
    <row r="2900" spans="1:3" x14ac:dyDescent="0.2">
      <c r="A2900" t="s">
        <v>6519</v>
      </c>
      <c r="B2900" t="s">
        <v>1339</v>
      </c>
      <c r="C2900" t="s">
        <v>1343</v>
      </c>
    </row>
    <row r="2901" spans="1:3" x14ac:dyDescent="0.2">
      <c r="A2901" t="s">
        <v>2096</v>
      </c>
      <c r="B2901" t="s">
        <v>1339</v>
      </c>
      <c r="C2901" t="s">
        <v>1343</v>
      </c>
    </row>
    <row r="2902" spans="1:3" x14ac:dyDescent="0.2">
      <c r="A2902" t="s">
        <v>5897</v>
      </c>
      <c r="B2902" t="s">
        <v>1339</v>
      </c>
      <c r="C2902" t="s">
        <v>1343</v>
      </c>
    </row>
    <row r="2903" spans="1:3" x14ac:dyDescent="0.2">
      <c r="A2903" t="s">
        <v>2097</v>
      </c>
      <c r="B2903" t="s">
        <v>1339</v>
      </c>
      <c r="C2903" t="s">
        <v>1343</v>
      </c>
    </row>
    <row r="2904" spans="1:3" x14ac:dyDescent="0.2">
      <c r="A2904" t="s">
        <v>5898</v>
      </c>
      <c r="B2904" t="s">
        <v>1339</v>
      </c>
      <c r="C2904" t="s">
        <v>1343</v>
      </c>
    </row>
    <row r="2905" spans="1:3" x14ac:dyDescent="0.2">
      <c r="A2905" t="s">
        <v>2098</v>
      </c>
      <c r="B2905" t="s">
        <v>1339</v>
      </c>
      <c r="C2905" t="s">
        <v>1343</v>
      </c>
    </row>
    <row r="2906" spans="1:3" x14ac:dyDescent="0.2">
      <c r="A2906" t="s">
        <v>2099</v>
      </c>
      <c r="B2906" t="s">
        <v>1339</v>
      </c>
      <c r="C2906" t="s">
        <v>1343</v>
      </c>
    </row>
    <row r="2907" spans="1:3" x14ac:dyDescent="0.2">
      <c r="A2907" t="s">
        <v>2100</v>
      </c>
      <c r="B2907" t="s">
        <v>1339</v>
      </c>
      <c r="C2907" t="s">
        <v>1343</v>
      </c>
    </row>
    <row r="2908" spans="1:3" x14ac:dyDescent="0.2">
      <c r="A2908" t="s">
        <v>5899</v>
      </c>
      <c r="B2908" t="s">
        <v>1339</v>
      </c>
      <c r="C2908" t="s">
        <v>1343</v>
      </c>
    </row>
    <row r="2909" spans="1:3" x14ac:dyDescent="0.2">
      <c r="A2909" t="s">
        <v>4716</v>
      </c>
      <c r="B2909" t="s">
        <v>1339</v>
      </c>
      <c r="C2909" t="s">
        <v>1343</v>
      </c>
    </row>
    <row r="2910" spans="1:3" x14ac:dyDescent="0.2">
      <c r="A2910" t="s">
        <v>5227</v>
      </c>
      <c r="B2910" t="s">
        <v>1339</v>
      </c>
      <c r="C2910" t="s">
        <v>1343</v>
      </c>
    </row>
    <row r="2911" spans="1:3" x14ac:dyDescent="0.2">
      <c r="A2911" t="s">
        <v>2101</v>
      </c>
      <c r="B2911" t="s">
        <v>1339</v>
      </c>
      <c r="C2911" t="s">
        <v>1343</v>
      </c>
    </row>
    <row r="2912" spans="1:3" x14ac:dyDescent="0.2">
      <c r="A2912" t="s">
        <v>5088</v>
      </c>
      <c r="B2912" t="s">
        <v>1339</v>
      </c>
      <c r="C2912" t="s">
        <v>1343</v>
      </c>
    </row>
    <row r="2913" spans="1:3" x14ac:dyDescent="0.2">
      <c r="A2913" t="s">
        <v>2102</v>
      </c>
      <c r="B2913" t="s">
        <v>1339</v>
      </c>
      <c r="C2913" t="s">
        <v>1343</v>
      </c>
    </row>
    <row r="2914" spans="1:3" x14ac:dyDescent="0.2">
      <c r="A2914" t="s">
        <v>6520</v>
      </c>
      <c r="B2914" t="s">
        <v>1339</v>
      </c>
      <c r="C2914" t="s">
        <v>1343</v>
      </c>
    </row>
    <row r="2915" spans="1:3" x14ac:dyDescent="0.2">
      <c r="A2915" t="s">
        <v>2103</v>
      </c>
      <c r="B2915" t="s">
        <v>1339</v>
      </c>
      <c r="C2915" t="s">
        <v>1343</v>
      </c>
    </row>
    <row r="2916" spans="1:3" x14ac:dyDescent="0.2">
      <c r="A2916" t="s">
        <v>2104</v>
      </c>
      <c r="B2916" t="s">
        <v>1339</v>
      </c>
      <c r="C2916" t="s">
        <v>1343</v>
      </c>
    </row>
    <row r="2917" spans="1:3" x14ac:dyDescent="0.2">
      <c r="A2917" t="s">
        <v>2105</v>
      </c>
      <c r="B2917" t="s">
        <v>1339</v>
      </c>
      <c r="C2917" t="s">
        <v>1343</v>
      </c>
    </row>
    <row r="2918" spans="1:3" x14ac:dyDescent="0.2">
      <c r="A2918" t="s">
        <v>2106</v>
      </c>
      <c r="B2918" t="s">
        <v>1339</v>
      </c>
      <c r="C2918" t="s">
        <v>1343</v>
      </c>
    </row>
    <row r="2919" spans="1:3" x14ac:dyDescent="0.2">
      <c r="A2919" t="s">
        <v>6521</v>
      </c>
      <c r="B2919" t="s">
        <v>1339</v>
      </c>
      <c r="C2919" t="s">
        <v>1343</v>
      </c>
    </row>
    <row r="2920" spans="1:3" x14ac:dyDescent="0.2">
      <c r="A2920" t="s">
        <v>5900</v>
      </c>
      <c r="B2920" t="s">
        <v>1339</v>
      </c>
      <c r="C2920" t="s">
        <v>1343</v>
      </c>
    </row>
    <row r="2921" spans="1:3" x14ac:dyDescent="0.2">
      <c r="A2921" t="s">
        <v>6522</v>
      </c>
      <c r="B2921" t="s">
        <v>1339</v>
      </c>
      <c r="C2921" t="s">
        <v>1343</v>
      </c>
    </row>
    <row r="2922" spans="1:3" x14ac:dyDescent="0.2">
      <c r="A2922" t="s">
        <v>2107</v>
      </c>
      <c r="B2922" t="s">
        <v>1339</v>
      </c>
      <c r="C2922" t="s">
        <v>1343</v>
      </c>
    </row>
    <row r="2923" spans="1:3" x14ac:dyDescent="0.2">
      <c r="A2923" t="s">
        <v>6523</v>
      </c>
      <c r="B2923" t="s">
        <v>1339</v>
      </c>
      <c r="C2923" t="s">
        <v>1343</v>
      </c>
    </row>
    <row r="2924" spans="1:3" x14ac:dyDescent="0.2">
      <c r="A2924" t="s">
        <v>6524</v>
      </c>
      <c r="B2924" t="s">
        <v>1339</v>
      </c>
      <c r="C2924" t="s">
        <v>1343</v>
      </c>
    </row>
    <row r="2925" spans="1:3" x14ac:dyDescent="0.2">
      <c r="A2925" t="s">
        <v>5721</v>
      </c>
      <c r="B2925" t="s">
        <v>1339</v>
      </c>
      <c r="C2925" t="s">
        <v>1340</v>
      </c>
    </row>
    <row r="2926" spans="1:3" x14ac:dyDescent="0.2">
      <c r="A2926" t="s">
        <v>3874</v>
      </c>
      <c r="B2926" t="s">
        <v>1339</v>
      </c>
      <c r="C2926" t="s">
        <v>1343</v>
      </c>
    </row>
    <row r="2927" spans="1:3" x14ac:dyDescent="0.2">
      <c r="A2927" t="s">
        <v>6525</v>
      </c>
      <c r="B2927" t="s">
        <v>1339</v>
      </c>
      <c r="C2927" t="s">
        <v>1343</v>
      </c>
    </row>
    <row r="2928" spans="1:3" x14ac:dyDescent="0.2">
      <c r="A2928" t="s">
        <v>6526</v>
      </c>
      <c r="B2928" t="s">
        <v>1339</v>
      </c>
      <c r="C2928" t="s">
        <v>1343</v>
      </c>
    </row>
    <row r="2929" spans="1:3" x14ac:dyDescent="0.2">
      <c r="A2929" t="s">
        <v>6527</v>
      </c>
      <c r="B2929" t="s">
        <v>1339</v>
      </c>
      <c r="C2929" t="s">
        <v>1343</v>
      </c>
    </row>
    <row r="2930" spans="1:3" x14ac:dyDescent="0.2">
      <c r="A2930" t="s">
        <v>6528</v>
      </c>
      <c r="B2930" t="s">
        <v>1339</v>
      </c>
      <c r="C2930" t="s">
        <v>1343</v>
      </c>
    </row>
    <row r="2931" spans="1:3" x14ac:dyDescent="0.2">
      <c r="A2931" t="s">
        <v>6529</v>
      </c>
      <c r="B2931" t="s">
        <v>1339</v>
      </c>
      <c r="C2931" t="s">
        <v>1343</v>
      </c>
    </row>
    <row r="2932" spans="1:3" x14ac:dyDescent="0.2">
      <c r="A2932" t="s">
        <v>5722</v>
      </c>
      <c r="B2932" t="s">
        <v>1339</v>
      </c>
      <c r="C2932" t="s">
        <v>1340</v>
      </c>
    </row>
    <row r="2933" spans="1:3" x14ac:dyDescent="0.2">
      <c r="A2933" t="s">
        <v>6530</v>
      </c>
      <c r="B2933" t="s">
        <v>1339</v>
      </c>
      <c r="C2933" t="s">
        <v>1343</v>
      </c>
    </row>
    <row r="2934" spans="1:3" x14ac:dyDescent="0.2">
      <c r="A2934" t="s">
        <v>6531</v>
      </c>
      <c r="B2934" t="s">
        <v>1339</v>
      </c>
      <c r="C2934" t="s">
        <v>1343</v>
      </c>
    </row>
    <row r="2935" spans="1:3" x14ac:dyDescent="0.2">
      <c r="A2935" t="s">
        <v>6532</v>
      </c>
      <c r="B2935" t="s">
        <v>1339</v>
      </c>
      <c r="C2935" t="s">
        <v>1343</v>
      </c>
    </row>
    <row r="2936" spans="1:3" x14ac:dyDescent="0.2">
      <c r="A2936" t="s">
        <v>6533</v>
      </c>
      <c r="B2936" t="s">
        <v>1339</v>
      </c>
      <c r="C2936" t="s">
        <v>1343</v>
      </c>
    </row>
    <row r="2937" spans="1:3" x14ac:dyDescent="0.2">
      <c r="A2937" t="s">
        <v>5901</v>
      </c>
      <c r="B2937" t="s">
        <v>1339</v>
      </c>
      <c r="C2937" t="s">
        <v>1343</v>
      </c>
    </row>
    <row r="2938" spans="1:3" x14ac:dyDescent="0.2">
      <c r="A2938" t="s">
        <v>6534</v>
      </c>
      <c r="B2938" t="s">
        <v>1339</v>
      </c>
      <c r="C2938" t="s">
        <v>1343</v>
      </c>
    </row>
    <row r="2939" spans="1:3" x14ac:dyDescent="0.2">
      <c r="A2939" t="s">
        <v>5902</v>
      </c>
      <c r="B2939" t="s">
        <v>1339</v>
      </c>
      <c r="C2939" t="s">
        <v>1343</v>
      </c>
    </row>
    <row r="2940" spans="1:3" x14ac:dyDescent="0.2">
      <c r="A2940" t="s">
        <v>5903</v>
      </c>
      <c r="B2940" t="s">
        <v>1339</v>
      </c>
      <c r="C2940" t="s">
        <v>1343</v>
      </c>
    </row>
    <row r="2941" spans="1:3" x14ac:dyDescent="0.2">
      <c r="A2941" t="s">
        <v>6535</v>
      </c>
      <c r="B2941" t="s">
        <v>1339</v>
      </c>
      <c r="C2941" t="s">
        <v>1343</v>
      </c>
    </row>
    <row r="2942" spans="1:3" x14ac:dyDescent="0.2">
      <c r="A2942" t="s">
        <v>6536</v>
      </c>
      <c r="B2942" t="s">
        <v>1339</v>
      </c>
      <c r="C2942" t="s">
        <v>1343</v>
      </c>
    </row>
    <row r="2943" spans="1:3" x14ac:dyDescent="0.2">
      <c r="A2943" t="s">
        <v>6537</v>
      </c>
      <c r="B2943" t="s">
        <v>1339</v>
      </c>
      <c r="C2943" t="s">
        <v>1343</v>
      </c>
    </row>
    <row r="2944" spans="1:3" x14ac:dyDescent="0.2">
      <c r="A2944" t="s">
        <v>2108</v>
      </c>
      <c r="B2944" t="s">
        <v>1339</v>
      </c>
      <c r="C2944" t="s">
        <v>1343</v>
      </c>
    </row>
    <row r="2945" spans="1:3" x14ac:dyDescent="0.2">
      <c r="A2945" t="s">
        <v>6538</v>
      </c>
      <c r="B2945" t="s">
        <v>1339</v>
      </c>
      <c r="C2945" t="s">
        <v>1343</v>
      </c>
    </row>
    <row r="2946" spans="1:3" x14ac:dyDescent="0.2">
      <c r="A2946" t="s">
        <v>5723</v>
      </c>
      <c r="B2946" t="s">
        <v>1339</v>
      </c>
      <c r="C2946" t="s">
        <v>1340</v>
      </c>
    </row>
    <row r="2947" spans="1:3" x14ac:dyDescent="0.2">
      <c r="A2947" t="s">
        <v>6539</v>
      </c>
      <c r="B2947" t="s">
        <v>1339</v>
      </c>
      <c r="C2947" t="s">
        <v>1343</v>
      </c>
    </row>
    <row r="2948" spans="1:3" x14ac:dyDescent="0.2">
      <c r="A2948" t="s">
        <v>5904</v>
      </c>
      <c r="B2948" t="s">
        <v>1339</v>
      </c>
      <c r="C2948" t="s">
        <v>1343</v>
      </c>
    </row>
    <row r="2949" spans="1:3" x14ac:dyDescent="0.2">
      <c r="A2949" t="s">
        <v>6540</v>
      </c>
      <c r="B2949" t="s">
        <v>1339</v>
      </c>
      <c r="C2949" t="s">
        <v>1343</v>
      </c>
    </row>
    <row r="2950" spans="1:3" x14ac:dyDescent="0.2">
      <c r="A2950" t="s">
        <v>6541</v>
      </c>
      <c r="B2950" t="s">
        <v>1339</v>
      </c>
      <c r="C2950" t="s">
        <v>1343</v>
      </c>
    </row>
    <row r="2951" spans="1:3" x14ac:dyDescent="0.2">
      <c r="A2951" t="s">
        <v>5905</v>
      </c>
      <c r="B2951" t="s">
        <v>1339</v>
      </c>
      <c r="C2951" t="s">
        <v>1343</v>
      </c>
    </row>
    <row r="2952" spans="1:3" x14ac:dyDescent="0.2">
      <c r="A2952" t="s">
        <v>5906</v>
      </c>
      <c r="B2952" t="s">
        <v>1339</v>
      </c>
      <c r="C2952" t="s">
        <v>1343</v>
      </c>
    </row>
    <row r="2953" spans="1:3" x14ac:dyDescent="0.2">
      <c r="A2953" t="s">
        <v>3875</v>
      </c>
      <c r="B2953" t="s">
        <v>1339</v>
      </c>
      <c r="C2953" t="s">
        <v>1343</v>
      </c>
    </row>
    <row r="2954" spans="1:3" x14ac:dyDescent="0.2">
      <c r="A2954" t="s">
        <v>6542</v>
      </c>
      <c r="B2954" t="s">
        <v>1339</v>
      </c>
      <c r="C2954" t="s">
        <v>1343</v>
      </c>
    </row>
    <row r="2955" spans="1:3" x14ac:dyDescent="0.2">
      <c r="A2955" t="s">
        <v>6543</v>
      </c>
      <c r="B2955" t="s">
        <v>1339</v>
      </c>
      <c r="C2955" t="s">
        <v>1343</v>
      </c>
    </row>
    <row r="2956" spans="1:3" x14ac:dyDescent="0.2">
      <c r="A2956" t="s">
        <v>5907</v>
      </c>
      <c r="B2956" t="s">
        <v>1339</v>
      </c>
      <c r="C2956" t="s">
        <v>1343</v>
      </c>
    </row>
    <row r="2957" spans="1:3" x14ac:dyDescent="0.2">
      <c r="A2957" t="s">
        <v>6544</v>
      </c>
      <c r="B2957" t="s">
        <v>1339</v>
      </c>
      <c r="C2957" t="s">
        <v>1343</v>
      </c>
    </row>
    <row r="2958" spans="1:3" x14ac:dyDescent="0.2">
      <c r="A2958" t="s">
        <v>3876</v>
      </c>
      <c r="B2958" t="s">
        <v>1339</v>
      </c>
      <c r="C2958" t="s">
        <v>1343</v>
      </c>
    </row>
    <row r="2959" spans="1:3" x14ac:dyDescent="0.2">
      <c r="A2959" t="s">
        <v>3877</v>
      </c>
      <c r="B2959" t="s">
        <v>1339</v>
      </c>
      <c r="C2959" t="s">
        <v>1343</v>
      </c>
    </row>
    <row r="2960" spans="1:3" x14ac:dyDescent="0.2">
      <c r="A2960" t="s">
        <v>6545</v>
      </c>
      <c r="B2960" t="s">
        <v>1339</v>
      </c>
      <c r="C2960" t="s">
        <v>1343</v>
      </c>
    </row>
    <row r="2961" spans="1:3" x14ac:dyDescent="0.2">
      <c r="A2961" t="s">
        <v>6546</v>
      </c>
      <c r="B2961" t="s">
        <v>1339</v>
      </c>
      <c r="C2961" t="s">
        <v>1343</v>
      </c>
    </row>
    <row r="2962" spans="1:3" x14ac:dyDescent="0.2">
      <c r="A2962" t="s">
        <v>6547</v>
      </c>
      <c r="B2962" t="s">
        <v>1339</v>
      </c>
      <c r="C2962" t="s">
        <v>1343</v>
      </c>
    </row>
    <row r="2963" spans="1:3" x14ac:dyDescent="0.2">
      <c r="A2963" t="s">
        <v>6548</v>
      </c>
      <c r="B2963" t="s">
        <v>1339</v>
      </c>
      <c r="C2963" t="s">
        <v>1343</v>
      </c>
    </row>
    <row r="2964" spans="1:3" x14ac:dyDescent="0.2">
      <c r="A2964" t="s">
        <v>6549</v>
      </c>
      <c r="B2964" t="s">
        <v>1339</v>
      </c>
      <c r="C2964" t="s">
        <v>1343</v>
      </c>
    </row>
    <row r="2965" spans="1:3" x14ac:dyDescent="0.2">
      <c r="A2965" t="s">
        <v>5908</v>
      </c>
      <c r="B2965" t="s">
        <v>1339</v>
      </c>
      <c r="C2965" t="s">
        <v>1343</v>
      </c>
    </row>
    <row r="2966" spans="1:3" x14ac:dyDescent="0.2">
      <c r="A2966" t="s">
        <v>6550</v>
      </c>
      <c r="B2966" t="s">
        <v>1339</v>
      </c>
      <c r="C2966" t="s">
        <v>1343</v>
      </c>
    </row>
    <row r="2967" spans="1:3" x14ac:dyDescent="0.2">
      <c r="A2967" t="s">
        <v>6551</v>
      </c>
      <c r="B2967" t="s">
        <v>1339</v>
      </c>
      <c r="C2967" t="s">
        <v>1343</v>
      </c>
    </row>
    <row r="2968" spans="1:3" x14ac:dyDescent="0.2">
      <c r="A2968" t="s">
        <v>6552</v>
      </c>
      <c r="B2968" t="s">
        <v>1339</v>
      </c>
      <c r="C2968" t="s">
        <v>1343</v>
      </c>
    </row>
    <row r="2969" spans="1:3" x14ac:dyDescent="0.2">
      <c r="A2969" t="s">
        <v>6553</v>
      </c>
      <c r="B2969" t="s">
        <v>1339</v>
      </c>
      <c r="C2969" t="s">
        <v>1343</v>
      </c>
    </row>
    <row r="2970" spans="1:3" x14ac:dyDescent="0.2">
      <c r="A2970" t="s">
        <v>6554</v>
      </c>
      <c r="B2970" t="s">
        <v>1339</v>
      </c>
      <c r="C2970" t="s">
        <v>1343</v>
      </c>
    </row>
    <row r="2971" spans="1:3" x14ac:dyDescent="0.2">
      <c r="A2971" t="s">
        <v>6555</v>
      </c>
      <c r="B2971" t="s">
        <v>1339</v>
      </c>
      <c r="C2971" t="s">
        <v>1343</v>
      </c>
    </row>
    <row r="2972" spans="1:3" x14ac:dyDescent="0.2">
      <c r="A2972" t="s">
        <v>6556</v>
      </c>
      <c r="B2972" t="s">
        <v>1339</v>
      </c>
      <c r="C2972" t="s">
        <v>1343</v>
      </c>
    </row>
    <row r="2973" spans="1:3" x14ac:dyDescent="0.2">
      <c r="A2973" t="s">
        <v>6557</v>
      </c>
      <c r="B2973" t="s">
        <v>1339</v>
      </c>
      <c r="C2973" t="s">
        <v>1343</v>
      </c>
    </row>
    <row r="2974" spans="1:3" x14ac:dyDescent="0.2">
      <c r="A2974" t="s">
        <v>3878</v>
      </c>
      <c r="B2974" t="s">
        <v>1339</v>
      </c>
      <c r="C2974" t="s">
        <v>1343</v>
      </c>
    </row>
    <row r="2975" spans="1:3" x14ac:dyDescent="0.2">
      <c r="A2975" t="s">
        <v>6558</v>
      </c>
      <c r="B2975" t="s">
        <v>1339</v>
      </c>
      <c r="C2975" t="s">
        <v>1343</v>
      </c>
    </row>
    <row r="2976" spans="1:3" x14ac:dyDescent="0.2">
      <c r="A2976" t="s">
        <v>6559</v>
      </c>
      <c r="B2976" t="s">
        <v>1339</v>
      </c>
      <c r="C2976" t="s">
        <v>1343</v>
      </c>
    </row>
    <row r="2977" spans="1:3" x14ac:dyDescent="0.2">
      <c r="A2977" t="s">
        <v>5909</v>
      </c>
      <c r="B2977" t="s">
        <v>1339</v>
      </c>
      <c r="C2977" t="s">
        <v>1343</v>
      </c>
    </row>
    <row r="2978" spans="1:3" x14ac:dyDescent="0.2">
      <c r="A2978" t="s">
        <v>5724</v>
      </c>
      <c r="B2978" t="s">
        <v>1339</v>
      </c>
      <c r="C2978" t="s">
        <v>1340</v>
      </c>
    </row>
    <row r="2979" spans="1:3" x14ac:dyDescent="0.2">
      <c r="A2979" t="s">
        <v>6560</v>
      </c>
      <c r="B2979" t="s">
        <v>1339</v>
      </c>
      <c r="C2979" t="s">
        <v>1343</v>
      </c>
    </row>
    <row r="2980" spans="1:3" x14ac:dyDescent="0.2">
      <c r="A2980" t="s">
        <v>6561</v>
      </c>
      <c r="B2980" t="s">
        <v>1339</v>
      </c>
      <c r="C2980" t="s">
        <v>1343</v>
      </c>
    </row>
    <row r="2981" spans="1:3" x14ac:dyDescent="0.2">
      <c r="A2981" t="s">
        <v>6562</v>
      </c>
      <c r="B2981" t="s">
        <v>1339</v>
      </c>
      <c r="C2981" t="s">
        <v>1343</v>
      </c>
    </row>
    <row r="2982" spans="1:3" x14ac:dyDescent="0.2">
      <c r="A2982" t="s">
        <v>6563</v>
      </c>
      <c r="B2982" t="s">
        <v>1339</v>
      </c>
      <c r="C2982" t="s">
        <v>1343</v>
      </c>
    </row>
    <row r="2983" spans="1:3" x14ac:dyDescent="0.2">
      <c r="A2983" t="s">
        <v>6564</v>
      </c>
      <c r="B2983" t="s">
        <v>1339</v>
      </c>
      <c r="C2983" t="s">
        <v>1343</v>
      </c>
    </row>
    <row r="2984" spans="1:3" x14ac:dyDescent="0.2">
      <c r="A2984" t="s">
        <v>6565</v>
      </c>
      <c r="B2984" t="s">
        <v>1339</v>
      </c>
      <c r="C2984" t="s">
        <v>1343</v>
      </c>
    </row>
    <row r="2985" spans="1:3" x14ac:dyDescent="0.2">
      <c r="A2985" t="s">
        <v>6566</v>
      </c>
      <c r="B2985" t="s">
        <v>1339</v>
      </c>
      <c r="C2985" t="s">
        <v>1343</v>
      </c>
    </row>
    <row r="2986" spans="1:3" x14ac:dyDescent="0.2">
      <c r="A2986" t="s">
        <v>6567</v>
      </c>
      <c r="B2986" t="s">
        <v>1339</v>
      </c>
      <c r="C2986" t="s">
        <v>1343</v>
      </c>
    </row>
    <row r="2987" spans="1:3" x14ac:dyDescent="0.2">
      <c r="A2987" t="s">
        <v>6568</v>
      </c>
      <c r="B2987" t="s">
        <v>1339</v>
      </c>
      <c r="C2987" t="s">
        <v>1343</v>
      </c>
    </row>
    <row r="2988" spans="1:3" x14ac:dyDescent="0.2">
      <c r="A2988" t="s">
        <v>5910</v>
      </c>
      <c r="B2988" t="s">
        <v>1339</v>
      </c>
      <c r="C2988" t="s">
        <v>1343</v>
      </c>
    </row>
    <row r="2989" spans="1:3" x14ac:dyDescent="0.2">
      <c r="A2989" t="s">
        <v>6569</v>
      </c>
      <c r="B2989" t="s">
        <v>1339</v>
      </c>
      <c r="C2989" t="s">
        <v>1343</v>
      </c>
    </row>
    <row r="2990" spans="1:3" x14ac:dyDescent="0.2">
      <c r="A2990" t="s">
        <v>6570</v>
      </c>
      <c r="B2990" t="s">
        <v>1339</v>
      </c>
      <c r="C2990" t="s">
        <v>1343</v>
      </c>
    </row>
    <row r="2991" spans="1:3" x14ac:dyDescent="0.2">
      <c r="A2991" t="s">
        <v>6571</v>
      </c>
      <c r="B2991" t="s">
        <v>1339</v>
      </c>
      <c r="C2991" t="s">
        <v>1343</v>
      </c>
    </row>
    <row r="2992" spans="1:3" x14ac:dyDescent="0.2">
      <c r="A2992" t="s">
        <v>6572</v>
      </c>
      <c r="B2992" t="s">
        <v>1339</v>
      </c>
      <c r="C2992" t="s">
        <v>1343</v>
      </c>
    </row>
    <row r="2993" spans="1:3" x14ac:dyDescent="0.2">
      <c r="A2993" t="s">
        <v>6573</v>
      </c>
      <c r="B2993" t="s">
        <v>1339</v>
      </c>
      <c r="C2993" t="s">
        <v>1343</v>
      </c>
    </row>
    <row r="2994" spans="1:3" x14ac:dyDescent="0.2">
      <c r="A2994" t="s">
        <v>6574</v>
      </c>
      <c r="B2994" t="s">
        <v>1339</v>
      </c>
      <c r="C2994" t="s">
        <v>1343</v>
      </c>
    </row>
    <row r="2995" spans="1:3" x14ac:dyDescent="0.2">
      <c r="A2995" t="s">
        <v>4593</v>
      </c>
      <c r="B2995" t="s">
        <v>1339</v>
      </c>
      <c r="C2995" t="s">
        <v>1343</v>
      </c>
    </row>
    <row r="2996" spans="1:3" x14ac:dyDescent="0.2">
      <c r="A2996" t="s">
        <v>6575</v>
      </c>
      <c r="B2996" t="s">
        <v>1339</v>
      </c>
      <c r="C2996" t="s">
        <v>1343</v>
      </c>
    </row>
    <row r="2997" spans="1:3" x14ac:dyDescent="0.2">
      <c r="A2997" t="s">
        <v>6576</v>
      </c>
      <c r="B2997" t="s">
        <v>1339</v>
      </c>
      <c r="C2997" t="s">
        <v>1343</v>
      </c>
    </row>
    <row r="2998" spans="1:3" x14ac:dyDescent="0.2">
      <c r="A2998" t="s">
        <v>6577</v>
      </c>
      <c r="B2998" t="s">
        <v>1339</v>
      </c>
      <c r="C2998" t="s">
        <v>1343</v>
      </c>
    </row>
    <row r="2999" spans="1:3" x14ac:dyDescent="0.2">
      <c r="A2999" t="s">
        <v>4717</v>
      </c>
      <c r="B2999" t="s">
        <v>1339</v>
      </c>
      <c r="C2999" t="s">
        <v>1343</v>
      </c>
    </row>
    <row r="3000" spans="1:3" x14ac:dyDescent="0.2">
      <c r="A3000" t="s">
        <v>5725</v>
      </c>
      <c r="B3000" t="s">
        <v>1339</v>
      </c>
      <c r="C3000" t="s">
        <v>1340</v>
      </c>
    </row>
    <row r="3001" spans="1:3" x14ac:dyDescent="0.2">
      <c r="A3001" t="s">
        <v>3879</v>
      </c>
      <c r="B3001" t="s">
        <v>1339</v>
      </c>
      <c r="C3001" t="s">
        <v>1343</v>
      </c>
    </row>
    <row r="3002" spans="1:3" x14ac:dyDescent="0.2">
      <c r="A3002" t="s">
        <v>3880</v>
      </c>
      <c r="B3002" t="s">
        <v>1339</v>
      </c>
      <c r="C3002" t="s">
        <v>1343</v>
      </c>
    </row>
    <row r="3003" spans="1:3" x14ac:dyDescent="0.2">
      <c r="A3003" t="s">
        <v>6578</v>
      </c>
      <c r="B3003" t="s">
        <v>1339</v>
      </c>
      <c r="C3003" t="s">
        <v>1343</v>
      </c>
    </row>
    <row r="3004" spans="1:3" x14ac:dyDescent="0.2">
      <c r="A3004" t="s">
        <v>2109</v>
      </c>
      <c r="B3004" t="s">
        <v>1339</v>
      </c>
      <c r="C3004" t="s">
        <v>1343</v>
      </c>
    </row>
    <row r="3005" spans="1:3" x14ac:dyDescent="0.2">
      <c r="A3005" t="s">
        <v>2110</v>
      </c>
      <c r="B3005" t="s">
        <v>1339</v>
      </c>
      <c r="C3005" t="s">
        <v>1343</v>
      </c>
    </row>
    <row r="3006" spans="1:3" x14ac:dyDescent="0.2">
      <c r="A3006" t="s">
        <v>2111</v>
      </c>
      <c r="B3006" t="s">
        <v>1339</v>
      </c>
      <c r="C3006" t="s">
        <v>1343</v>
      </c>
    </row>
    <row r="3007" spans="1:3" x14ac:dyDescent="0.2">
      <c r="A3007" t="s">
        <v>2112</v>
      </c>
      <c r="B3007" t="s">
        <v>1339</v>
      </c>
      <c r="C3007" t="s">
        <v>1343</v>
      </c>
    </row>
    <row r="3008" spans="1:3" x14ac:dyDescent="0.2">
      <c r="A3008" t="s">
        <v>2113</v>
      </c>
      <c r="B3008" t="s">
        <v>1339</v>
      </c>
      <c r="C3008" t="s">
        <v>1343</v>
      </c>
    </row>
    <row r="3009" spans="1:3" x14ac:dyDescent="0.2">
      <c r="A3009" t="s">
        <v>2114</v>
      </c>
      <c r="B3009" t="s">
        <v>1339</v>
      </c>
      <c r="C3009" t="s">
        <v>1343</v>
      </c>
    </row>
    <row r="3010" spans="1:3" x14ac:dyDescent="0.2">
      <c r="A3010" t="s">
        <v>6579</v>
      </c>
      <c r="B3010" t="s">
        <v>1339</v>
      </c>
      <c r="C3010" t="s">
        <v>1343</v>
      </c>
    </row>
    <row r="3011" spans="1:3" x14ac:dyDescent="0.2">
      <c r="A3011" t="s">
        <v>4718</v>
      </c>
      <c r="B3011" t="s">
        <v>1339</v>
      </c>
      <c r="C3011" t="s">
        <v>1343</v>
      </c>
    </row>
    <row r="3012" spans="1:3" x14ac:dyDescent="0.2">
      <c r="A3012" t="s">
        <v>6580</v>
      </c>
      <c r="B3012" t="s">
        <v>1339</v>
      </c>
      <c r="C3012" t="s">
        <v>1343</v>
      </c>
    </row>
    <row r="3013" spans="1:3" x14ac:dyDescent="0.2">
      <c r="A3013" t="s">
        <v>6581</v>
      </c>
      <c r="B3013" t="s">
        <v>1339</v>
      </c>
      <c r="C3013" t="s">
        <v>1343</v>
      </c>
    </row>
    <row r="3014" spans="1:3" x14ac:dyDescent="0.2">
      <c r="A3014" t="s">
        <v>2115</v>
      </c>
      <c r="B3014" t="s">
        <v>1339</v>
      </c>
      <c r="C3014" t="s">
        <v>1343</v>
      </c>
    </row>
    <row r="3015" spans="1:3" x14ac:dyDescent="0.2">
      <c r="A3015" t="s">
        <v>6582</v>
      </c>
      <c r="B3015" t="s">
        <v>1339</v>
      </c>
      <c r="C3015" t="s">
        <v>1343</v>
      </c>
    </row>
    <row r="3016" spans="1:3" x14ac:dyDescent="0.2">
      <c r="A3016" t="s">
        <v>2116</v>
      </c>
      <c r="B3016" t="s">
        <v>1339</v>
      </c>
      <c r="C3016" t="s">
        <v>1343</v>
      </c>
    </row>
    <row r="3017" spans="1:3" x14ac:dyDescent="0.2">
      <c r="A3017" t="s">
        <v>2117</v>
      </c>
      <c r="B3017" t="s">
        <v>1339</v>
      </c>
      <c r="C3017" t="s">
        <v>1343</v>
      </c>
    </row>
    <row r="3018" spans="1:3" x14ac:dyDescent="0.2">
      <c r="A3018" t="s">
        <v>2118</v>
      </c>
      <c r="B3018" t="s">
        <v>1339</v>
      </c>
      <c r="C3018" t="s">
        <v>1343</v>
      </c>
    </row>
    <row r="3019" spans="1:3" x14ac:dyDescent="0.2">
      <c r="A3019" t="s">
        <v>2119</v>
      </c>
      <c r="B3019" t="s">
        <v>1339</v>
      </c>
      <c r="C3019" t="s">
        <v>1343</v>
      </c>
    </row>
    <row r="3020" spans="1:3" x14ac:dyDescent="0.2">
      <c r="A3020" t="s">
        <v>2120</v>
      </c>
      <c r="B3020" t="s">
        <v>1339</v>
      </c>
      <c r="C3020" t="s">
        <v>1343</v>
      </c>
    </row>
    <row r="3021" spans="1:3" x14ac:dyDescent="0.2">
      <c r="A3021" t="s">
        <v>2121</v>
      </c>
      <c r="B3021" t="s">
        <v>1339</v>
      </c>
      <c r="C3021" t="s">
        <v>1343</v>
      </c>
    </row>
    <row r="3022" spans="1:3" x14ac:dyDescent="0.2">
      <c r="A3022" t="s">
        <v>2122</v>
      </c>
      <c r="B3022" t="s">
        <v>1339</v>
      </c>
      <c r="C3022" t="s">
        <v>1343</v>
      </c>
    </row>
    <row r="3023" spans="1:3" x14ac:dyDescent="0.2">
      <c r="A3023" t="s">
        <v>2123</v>
      </c>
      <c r="B3023" t="s">
        <v>1339</v>
      </c>
      <c r="C3023" t="s">
        <v>1343</v>
      </c>
    </row>
    <row r="3024" spans="1:3" x14ac:dyDescent="0.2">
      <c r="A3024" t="s">
        <v>2124</v>
      </c>
      <c r="B3024" t="s">
        <v>1339</v>
      </c>
      <c r="C3024" t="s">
        <v>1343</v>
      </c>
    </row>
    <row r="3025" spans="1:3" x14ac:dyDescent="0.2">
      <c r="A3025" t="s">
        <v>2125</v>
      </c>
      <c r="B3025" t="s">
        <v>1339</v>
      </c>
      <c r="C3025" t="s">
        <v>1343</v>
      </c>
    </row>
    <row r="3026" spans="1:3" x14ac:dyDescent="0.2">
      <c r="A3026" t="s">
        <v>2126</v>
      </c>
      <c r="B3026" t="s">
        <v>1339</v>
      </c>
      <c r="C3026" t="s">
        <v>1343</v>
      </c>
    </row>
    <row r="3027" spans="1:3" x14ac:dyDescent="0.2">
      <c r="A3027" t="s">
        <v>2127</v>
      </c>
      <c r="B3027" t="s">
        <v>1339</v>
      </c>
      <c r="C3027" t="s">
        <v>1343</v>
      </c>
    </row>
    <row r="3028" spans="1:3" x14ac:dyDescent="0.2">
      <c r="A3028" t="s">
        <v>2128</v>
      </c>
      <c r="B3028" t="s">
        <v>1339</v>
      </c>
      <c r="C3028" t="s">
        <v>1343</v>
      </c>
    </row>
    <row r="3029" spans="1:3" x14ac:dyDescent="0.2">
      <c r="A3029" t="s">
        <v>6583</v>
      </c>
      <c r="B3029" t="s">
        <v>1339</v>
      </c>
      <c r="C3029" t="s">
        <v>1343</v>
      </c>
    </row>
    <row r="3030" spans="1:3" x14ac:dyDescent="0.2">
      <c r="A3030" t="s">
        <v>2129</v>
      </c>
      <c r="B3030" t="s">
        <v>1339</v>
      </c>
      <c r="C3030" t="s">
        <v>1343</v>
      </c>
    </row>
    <row r="3031" spans="1:3" x14ac:dyDescent="0.2">
      <c r="A3031" t="s">
        <v>6584</v>
      </c>
      <c r="B3031" t="s">
        <v>1339</v>
      </c>
      <c r="C3031" t="s">
        <v>1343</v>
      </c>
    </row>
    <row r="3032" spans="1:3" x14ac:dyDescent="0.2">
      <c r="A3032" t="s">
        <v>2130</v>
      </c>
      <c r="B3032" t="s">
        <v>1339</v>
      </c>
      <c r="C3032" t="s">
        <v>1343</v>
      </c>
    </row>
    <row r="3033" spans="1:3" x14ac:dyDescent="0.2">
      <c r="A3033" t="s">
        <v>6585</v>
      </c>
      <c r="B3033" t="s">
        <v>1339</v>
      </c>
      <c r="C3033" t="s">
        <v>1343</v>
      </c>
    </row>
    <row r="3034" spans="1:3" x14ac:dyDescent="0.2">
      <c r="A3034" t="s">
        <v>2131</v>
      </c>
      <c r="B3034" t="s">
        <v>1339</v>
      </c>
      <c r="C3034" t="s">
        <v>1343</v>
      </c>
    </row>
    <row r="3035" spans="1:3" x14ac:dyDescent="0.2">
      <c r="A3035" t="s">
        <v>2132</v>
      </c>
      <c r="B3035" t="s">
        <v>1339</v>
      </c>
      <c r="C3035" t="s">
        <v>1343</v>
      </c>
    </row>
    <row r="3036" spans="1:3" x14ac:dyDescent="0.2">
      <c r="A3036" t="s">
        <v>2133</v>
      </c>
      <c r="B3036" t="s">
        <v>1339</v>
      </c>
      <c r="C3036" t="s">
        <v>1343</v>
      </c>
    </row>
    <row r="3037" spans="1:3" x14ac:dyDescent="0.2">
      <c r="A3037" t="s">
        <v>2134</v>
      </c>
      <c r="B3037" t="s">
        <v>1339</v>
      </c>
      <c r="C3037" t="s">
        <v>1343</v>
      </c>
    </row>
    <row r="3038" spans="1:3" x14ac:dyDescent="0.2">
      <c r="A3038" t="s">
        <v>2135</v>
      </c>
      <c r="B3038" t="s">
        <v>1339</v>
      </c>
      <c r="C3038" t="s">
        <v>1343</v>
      </c>
    </row>
    <row r="3039" spans="1:3" x14ac:dyDescent="0.2">
      <c r="A3039" t="s">
        <v>2136</v>
      </c>
      <c r="B3039" t="s">
        <v>1339</v>
      </c>
      <c r="C3039" t="s">
        <v>1343</v>
      </c>
    </row>
    <row r="3040" spans="1:3" x14ac:dyDescent="0.2">
      <c r="A3040" t="s">
        <v>2137</v>
      </c>
      <c r="B3040" t="s">
        <v>1339</v>
      </c>
      <c r="C3040" t="s">
        <v>1343</v>
      </c>
    </row>
    <row r="3041" spans="1:3" x14ac:dyDescent="0.2">
      <c r="A3041" t="s">
        <v>6586</v>
      </c>
      <c r="B3041" t="s">
        <v>1339</v>
      </c>
      <c r="C3041" t="s">
        <v>1343</v>
      </c>
    </row>
    <row r="3042" spans="1:3" x14ac:dyDescent="0.2">
      <c r="A3042" t="s">
        <v>5911</v>
      </c>
      <c r="B3042" t="s">
        <v>1339</v>
      </c>
      <c r="C3042" t="s">
        <v>1343</v>
      </c>
    </row>
    <row r="3043" spans="1:3" x14ac:dyDescent="0.2">
      <c r="A3043" t="s">
        <v>3881</v>
      </c>
      <c r="B3043" t="s">
        <v>1339</v>
      </c>
      <c r="C3043" t="s">
        <v>1343</v>
      </c>
    </row>
    <row r="3044" spans="1:3" x14ac:dyDescent="0.2">
      <c r="A3044" t="s">
        <v>6587</v>
      </c>
      <c r="B3044" t="s">
        <v>1339</v>
      </c>
      <c r="C3044" t="s">
        <v>1343</v>
      </c>
    </row>
    <row r="3045" spans="1:3" x14ac:dyDescent="0.2">
      <c r="A3045" t="s">
        <v>6588</v>
      </c>
      <c r="B3045" t="s">
        <v>1339</v>
      </c>
      <c r="C3045" t="s">
        <v>1343</v>
      </c>
    </row>
    <row r="3046" spans="1:3" x14ac:dyDescent="0.2">
      <c r="A3046" t="s">
        <v>5912</v>
      </c>
      <c r="B3046" t="s">
        <v>1339</v>
      </c>
      <c r="C3046" t="s">
        <v>1343</v>
      </c>
    </row>
    <row r="3047" spans="1:3" x14ac:dyDescent="0.2">
      <c r="A3047" t="s">
        <v>2138</v>
      </c>
      <c r="B3047" t="s">
        <v>1339</v>
      </c>
      <c r="C3047" t="s">
        <v>1343</v>
      </c>
    </row>
    <row r="3048" spans="1:3" x14ac:dyDescent="0.2">
      <c r="A3048" t="s">
        <v>6589</v>
      </c>
      <c r="B3048" t="s">
        <v>1339</v>
      </c>
      <c r="C3048" t="s">
        <v>1343</v>
      </c>
    </row>
    <row r="3049" spans="1:3" x14ac:dyDescent="0.2">
      <c r="A3049" t="s">
        <v>4719</v>
      </c>
      <c r="B3049" t="s">
        <v>1339</v>
      </c>
      <c r="C3049" t="s">
        <v>1343</v>
      </c>
    </row>
    <row r="3050" spans="1:3" x14ac:dyDescent="0.2">
      <c r="A3050" t="s">
        <v>6590</v>
      </c>
      <c r="B3050" t="s">
        <v>1339</v>
      </c>
      <c r="C3050" t="s">
        <v>1343</v>
      </c>
    </row>
    <row r="3051" spans="1:3" x14ac:dyDescent="0.2">
      <c r="A3051" t="s">
        <v>6591</v>
      </c>
      <c r="B3051" t="s">
        <v>1339</v>
      </c>
      <c r="C3051" t="s">
        <v>1343</v>
      </c>
    </row>
    <row r="3052" spans="1:3" x14ac:dyDescent="0.2">
      <c r="A3052" t="s">
        <v>6592</v>
      </c>
      <c r="B3052" t="s">
        <v>1339</v>
      </c>
      <c r="C3052" t="s">
        <v>1343</v>
      </c>
    </row>
    <row r="3053" spans="1:3" x14ac:dyDescent="0.2">
      <c r="A3053" t="s">
        <v>6593</v>
      </c>
      <c r="B3053" t="s">
        <v>1339</v>
      </c>
      <c r="C3053" t="s">
        <v>1343</v>
      </c>
    </row>
    <row r="3054" spans="1:3" x14ac:dyDescent="0.2">
      <c r="A3054" t="s">
        <v>6594</v>
      </c>
      <c r="B3054" t="s">
        <v>1339</v>
      </c>
      <c r="C3054" t="s">
        <v>1343</v>
      </c>
    </row>
    <row r="3055" spans="1:3" x14ac:dyDescent="0.2">
      <c r="A3055" t="s">
        <v>6595</v>
      </c>
      <c r="B3055" t="s">
        <v>1339</v>
      </c>
      <c r="C3055" t="s">
        <v>1343</v>
      </c>
    </row>
    <row r="3056" spans="1:3" x14ac:dyDescent="0.2">
      <c r="A3056" t="s">
        <v>6596</v>
      </c>
      <c r="B3056" t="s">
        <v>1339</v>
      </c>
      <c r="C3056" t="s">
        <v>1343</v>
      </c>
    </row>
    <row r="3057" spans="1:3" x14ac:dyDescent="0.2">
      <c r="A3057" t="s">
        <v>6597</v>
      </c>
      <c r="B3057" t="s">
        <v>1339</v>
      </c>
      <c r="C3057" t="s">
        <v>1343</v>
      </c>
    </row>
    <row r="3058" spans="1:3" x14ac:dyDescent="0.2">
      <c r="A3058" t="s">
        <v>2139</v>
      </c>
      <c r="B3058" t="s">
        <v>1339</v>
      </c>
      <c r="C3058" t="s">
        <v>1343</v>
      </c>
    </row>
    <row r="3059" spans="1:3" x14ac:dyDescent="0.2">
      <c r="A3059" t="s">
        <v>6598</v>
      </c>
      <c r="B3059" t="s">
        <v>1339</v>
      </c>
      <c r="C3059" t="s">
        <v>1343</v>
      </c>
    </row>
    <row r="3060" spans="1:3" x14ac:dyDescent="0.2">
      <c r="A3060" t="s">
        <v>6599</v>
      </c>
      <c r="B3060" t="s">
        <v>1339</v>
      </c>
      <c r="C3060" t="s">
        <v>1343</v>
      </c>
    </row>
    <row r="3061" spans="1:3" x14ac:dyDescent="0.2">
      <c r="A3061" t="s">
        <v>6600</v>
      </c>
      <c r="B3061" t="s">
        <v>1339</v>
      </c>
      <c r="C3061" t="s">
        <v>1343</v>
      </c>
    </row>
    <row r="3062" spans="1:3" x14ac:dyDescent="0.2">
      <c r="A3062" t="s">
        <v>6601</v>
      </c>
      <c r="B3062" t="s">
        <v>1339</v>
      </c>
      <c r="C3062" t="s">
        <v>1343</v>
      </c>
    </row>
    <row r="3063" spans="1:3" x14ac:dyDescent="0.2">
      <c r="A3063" t="s">
        <v>6602</v>
      </c>
      <c r="B3063" t="s">
        <v>1339</v>
      </c>
      <c r="C3063" t="s">
        <v>1343</v>
      </c>
    </row>
    <row r="3064" spans="1:3" x14ac:dyDescent="0.2">
      <c r="A3064" t="s">
        <v>6603</v>
      </c>
      <c r="B3064" t="s">
        <v>1339</v>
      </c>
      <c r="C3064" t="s">
        <v>1343</v>
      </c>
    </row>
    <row r="3065" spans="1:3" x14ac:dyDescent="0.2">
      <c r="A3065" t="s">
        <v>6604</v>
      </c>
      <c r="B3065" t="s">
        <v>1339</v>
      </c>
      <c r="C3065" t="s">
        <v>1343</v>
      </c>
    </row>
    <row r="3066" spans="1:3" x14ac:dyDescent="0.2">
      <c r="A3066" t="s">
        <v>6605</v>
      </c>
      <c r="B3066" t="s">
        <v>1339</v>
      </c>
      <c r="C3066" t="s">
        <v>1343</v>
      </c>
    </row>
    <row r="3067" spans="1:3" x14ac:dyDescent="0.2">
      <c r="A3067" t="s">
        <v>6606</v>
      </c>
      <c r="B3067" t="s">
        <v>1339</v>
      </c>
      <c r="C3067" t="s">
        <v>1343</v>
      </c>
    </row>
    <row r="3068" spans="1:3" x14ac:dyDescent="0.2">
      <c r="A3068" t="s">
        <v>6607</v>
      </c>
      <c r="B3068" t="s">
        <v>1339</v>
      </c>
      <c r="C3068" t="s">
        <v>1343</v>
      </c>
    </row>
    <row r="3069" spans="1:3" x14ac:dyDescent="0.2">
      <c r="A3069" t="s">
        <v>6608</v>
      </c>
      <c r="B3069" t="s">
        <v>1339</v>
      </c>
      <c r="C3069" t="s">
        <v>1343</v>
      </c>
    </row>
    <row r="3070" spans="1:3" x14ac:dyDescent="0.2">
      <c r="A3070" t="s">
        <v>6609</v>
      </c>
      <c r="B3070" t="s">
        <v>1339</v>
      </c>
      <c r="C3070" t="s">
        <v>1343</v>
      </c>
    </row>
    <row r="3071" spans="1:3" x14ac:dyDescent="0.2">
      <c r="A3071" t="s">
        <v>6610</v>
      </c>
      <c r="B3071" t="s">
        <v>1339</v>
      </c>
      <c r="C3071" t="s">
        <v>1343</v>
      </c>
    </row>
    <row r="3072" spans="1:3" x14ac:dyDescent="0.2">
      <c r="A3072" t="s">
        <v>3882</v>
      </c>
      <c r="B3072" t="s">
        <v>1339</v>
      </c>
      <c r="C3072" t="s">
        <v>1343</v>
      </c>
    </row>
    <row r="3073" spans="1:3" x14ac:dyDescent="0.2">
      <c r="A3073" t="s">
        <v>6611</v>
      </c>
      <c r="B3073" t="s">
        <v>1339</v>
      </c>
      <c r="C3073" t="s">
        <v>1343</v>
      </c>
    </row>
    <row r="3074" spans="1:3" x14ac:dyDescent="0.2">
      <c r="A3074" t="s">
        <v>6612</v>
      </c>
      <c r="B3074" t="s">
        <v>1339</v>
      </c>
      <c r="C3074" t="s">
        <v>1343</v>
      </c>
    </row>
    <row r="3075" spans="1:3" x14ac:dyDescent="0.2">
      <c r="A3075" t="s">
        <v>6613</v>
      </c>
      <c r="B3075" t="s">
        <v>1339</v>
      </c>
      <c r="C3075" t="s">
        <v>1343</v>
      </c>
    </row>
    <row r="3076" spans="1:3" x14ac:dyDescent="0.2">
      <c r="A3076" t="s">
        <v>6614</v>
      </c>
      <c r="B3076" t="s">
        <v>1339</v>
      </c>
      <c r="C3076" t="s">
        <v>1343</v>
      </c>
    </row>
    <row r="3077" spans="1:3" x14ac:dyDescent="0.2">
      <c r="A3077" t="s">
        <v>6615</v>
      </c>
      <c r="B3077" t="s">
        <v>1339</v>
      </c>
      <c r="C3077" t="s">
        <v>1343</v>
      </c>
    </row>
    <row r="3078" spans="1:3" x14ac:dyDescent="0.2">
      <c r="A3078" t="s">
        <v>6616</v>
      </c>
      <c r="B3078" t="s">
        <v>1339</v>
      </c>
      <c r="C3078" t="s">
        <v>1343</v>
      </c>
    </row>
    <row r="3079" spans="1:3" x14ac:dyDescent="0.2">
      <c r="A3079" t="s">
        <v>6617</v>
      </c>
      <c r="B3079" t="s">
        <v>1339</v>
      </c>
      <c r="C3079" t="s">
        <v>1343</v>
      </c>
    </row>
    <row r="3080" spans="1:3" x14ac:dyDescent="0.2">
      <c r="A3080" t="s">
        <v>6618</v>
      </c>
      <c r="B3080" t="s">
        <v>1339</v>
      </c>
      <c r="C3080" t="s">
        <v>1343</v>
      </c>
    </row>
    <row r="3081" spans="1:3" x14ac:dyDescent="0.2">
      <c r="A3081" t="s">
        <v>2140</v>
      </c>
      <c r="B3081" t="s">
        <v>1339</v>
      </c>
      <c r="C3081" t="s">
        <v>1343</v>
      </c>
    </row>
    <row r="3082" spans="1:3" x14ac:dyDescent="0.2">
      <c r="A3082" t="s">
        <v>6619</v>
      </c>
      <c r="B3082" t="s">
        <v>1339</v>
      </c>
      <c r="C3082" t="s">
        <v>1343</v>
      </c>
    </row>
    <row r="3083" spans="1:3" x14ac:dyDescent="0.2">
      <c r="A3083" t="s">
        <v>6620</v>
      </c>
      <c r="B3083" t="s">
        <v>1339</v>
      </c>
      <c r="C3083" t="s">
        <v>1343</v>
      </c>
    </row>
    <row r="3084" spans="1:3" x14ac:dyDescent="0.2">
      <c r="A3084" t="s">
        <v>6621</v>
      </c>
      <c r="B3084" t="s">
        <v>1339</v>
      </c>
      <c r="C3084" t="s">
        <v>1343</v>
      </c>
    </row>
    <row r="3085" spans="1:3" x14ac:dyDescent="0.2">
      <c r="A3085" t="s">
        <v>5913</v>
      </c>
      <c r="B3085" t="s">
        <v>1339</v>
      </c>
      <c r="C3085" t="s">
        <v>1343</v>
      </c>
    </row>
    <row r="3086" spans="1:3" x14ac:dyDescent="0.2">
      <c r="A3086" t="s">
        <v>6622</v>
      </c>
      <c r="B3086" t="s">
        <v>1339</v>
      </c>
      <c r="C3086" t="s">
        <v>1343</v>
      </c>
    </row>
    <row r="3087" spans="1:3" x14ac:dyDescent="0.2">
      <c r="A3087" t="s">
        <v>6623</v>
      </c>
      <c r="B3087" t="s">
        <v>1339</v>
      </c>
      <c r="C3087" t="s">
        <v>1343</v>
      </c>
    </row>
    <row r="3088" spans="1:3" x14ac:dyDescent="0.2">
      <c r="A3088" t="s">
        <v>5914</v>
      </c>
      <c r="B3088" t="s">
        <v>1339</v>
      </c>
      <c r="C3088" t="s">
        <v>1343</v>
      </c>
    </row>
    <row r="3089" spans="1:3" x14ac:dyDescent="0.2">
      <c r="A3089" t="s">
        <v>6624</v>
      </c>
      <c r="B3089" t="s">
        <v>1339</v>
      </c>
      <c r="C3089" t="s">
        <v>1343</v>
      </c>
    </row>
    <row r="3090" spans="1:3" x14ac:dyDescent="0.2">
      <c r="A3090" t="s">
        <v>6625</v>
      </c>
      <c r="B3090" t="s">
        <v>1339</v>
      </c>
      <c r="C3090" t="s">
        <v>1343</v>
      </c>
    </row>
    <row r="3091" spans="1:3" x14ac:dyDescent="0.2">
      <c r="A3091" t="s">
        <v>6626</v>
      </c>
      <c r="B3091" t="s">
        <v>1339</v>
      </c>
      <c r="C3091" t="s">
        <v>1343</v>
      </c>
    </row>
    <row r="3092" spans="1:3" x14ac:dyDescent="0.2">
      <c r="A3092" t="s">
        <v>6627</v>
      </c>
      <c r="B3092" t="s">
        <v>1339</v>
      </c>
      <c r="C3092" t="s">
        <v>1343</v>
      </c>
    </row>
    <row r="3093" spans="1:3" x14ac:dyDescent="0.2">
      <c r="A3093" t="s">
        <v>6628</v>
      </c>
      <c r="B3093" t="s">
        <v>1339</v>
      </c>
      <c r="C3093" t="s">
        <v>1343</v>
      </c>
    </row>
    <row r="3094" spans="1:3" x14ac:dyDescent="0.2">
      <c r="A3094" t="s">
        <v>5915</v>
      </c>
      <c r="B3094" t="s">
        <v>1339</v>
      </c>
      <c r="C3094" t="s">
        <v>1343</v>
      </c>
    </row>
    <row r="3095" spans="1:3" x14ac:dyDescent="0.2">
      <c r="A3095" t="s">
        <v>5726</v>
      </c>
      <c r="B3095" t="s">
        <v>1339</v>
      </c>
      <c r="C3095" t="s">
        <v>1340</v>
      </c>
    </row>
    <row r="3096" spans="1:3" x14ac:dyDescent="0.2">
      <c r="A3096" t="s">
        <v>3883</v>
      </c>
      <c r="B3096" t="s">
        <v>1339</v>
      </c>
      <c r="C3096" t="s">
        <v>1343</v>
      </c>
    </row>
    <row r="3097" spans="1:3" x14ac:dyDescent="0.2">
      <c r="A3097" t="s">
        <v>6629</v>
      </c>
      <c r="B3097" t="s">
        <v>1339</v>
      </c>
      <c r="C3097" t="s">
        <v>1343</v>
      </c>
    </row>
    <row r="3098" spans="1:3" x14ac:dyDescent="0.2">
      <c r="A3098" t="s">
        <v>6630</v>
      </c>
      <c r="B3098" t="s">
        <v>1339</v>
      </c>
      <c r="C3098" t="s">
        <v>1343</v>
      </c>
    </row>
    <row r="3099" spans="1:3" x14ac:dyDescent="0.2">
      <c r="A3099" t="s">
        <v>6631</v>
      </c>
      <c r="B3099" t="s">
        <v>1339</v>
      </c>
      <c r="C3099" t="s">
        <v>1343</v>
      </c>
    </row>
    <row r="3100" spans="1:3" x14ac:dyDescent="0.2">
      <c r="A3100" t="s">
        <v>5916</v>
      </c>
      <c r="B3100" t="s">
        <v>1339</v>
      </c>
      <c r="C3100" t="s">
        <v>1343</v>
      </c>
    </row>
    <row r="3101" spans="1:3" x14ac:dyDescent="0.2">
      <c r="A3101" t="s">
        <v>6632</v>
      </c>
      <c r="B3101" t="s">
        <v>1339</v>
      </c>
      <c r="C3101" t="s">
        <v>1343</v>
      </c>
    </row>
    <row r="3102" spans="1:3" x14ac:dyDescent="0.2">
      <c r="A3102" t="s">
        <v>6633</v>
      </c>
      <c r="B3102" t="s">
        <v>1339</v>
      </c>
      <c r="C3102" t="s">
        <v>1343</v>
      </c>
    </row>
    <row r="3103" spans="1:3" x14ac:dyDescent="0.2">
      <c r="A3103" t="s">
        <v>4720</v>
      </c>
      <c r="B3103" t="s">
        <v>1339</v>
      </c>
      <c r="C3103" t="s">
        <v>1343</v>
      </c>
    </row>
    <row r="3104" spans="1:3" x14ac:dyDescent="0.2">
      <c r="A3104" t="s">
        <v>6634</v>
      </c>
      <c r="B3104" t="s">
        <v>1339</v>
      </c>
      <c r="C3104" t="s">
        <v>1343</v>
      </c>
    </row>
    <row r="3105" spans="1:3" x14ac:dyDescent="0.2">
      <c r="A3105" t="s">
        <v>6635</v>
      </c>
      <c r="B3105" t="s">
        <v>1339</v>
      </c>
      <c r="C3105" t="s">
        <v>1343</v>
      </c>
    </row>
    <row r="3106" spans="1:3" x14ac:dyDescent="0.2">
      <c r="A3106" t="s">
        <v>6636</v>
      </c>
      <c r="B3106" t="s">
        <v>1339</v>
      </c>
      <c r="C3106" t="s">
        <v>1343</v>
      </c>
    </row>
    <row r="3107" spans="1:3" x14ac:dyDescent="0.2">
      <c r="A3107" t="s">
        <v>6637</v>
      </c>
      <c r="B3107" t="s">
        <v>1339</v>
      </c>
      <c r="C3107" t="s">
        <v>1343</v>
      </c>
    </row>
    <row r="3108" spans="1:3" x14ac:dyDescent="0.2">
      <c r="A3108" t="s">
        <v>3884</v>
      </c>
      <c r="B3108" t="s">
        <v>1339</v>
      </c>
      <c r="C3108" t="s">
        <v>1343</v>
      </c>
    </row>
    <row r="3109" spans="1:3" x14ac:dyDescent="0.2">
      <c r="A3109" t="s">
        <v>6638</v>
      </c>
      <c r="B3109" t="s">
        <v>1339</v>
      </c>
      <c r="C3109" t="s">
        <v>1343</v>
      </c>
    </row>
    <row r="3110" spans="1:3" x14ac:dyDescent="0.2">
      <c r="A3110" t="s">
        <v>6639</v>
      </c>
      <c r="B3110" t="s">
        <v>1339</v>
      </c>
      <c r="C3110" t="s">
        <v>1343</v>
      </c>
    </row>
    <row r="3111" spans="1:3" x14ac:dyDescent="0.2">
      <c r="A3111" t="s">
        <v>5917</v>
      </c>
      <c r="B3111" t="s">
        <v>1339</v>
      </c>
      <c r="C3111" t="s">
        <v>1343</v>
      </c>
    </row>
    <row r="3112" spans="1:3" x14ac:dyDescent="0.2">
      <c r="A3112" t="s">
        <v>6640</v>
      </c>
      <c r="B3112" t="s">
        <v>1339</v>
      </c>
      <c r="C3112" t="s">
        <v>1343</v>
      </c>
    </row>
    <row r="3113" spans="1:3" x14ac:dyDescent="0.2">
      <c r="A3113" t="s">
        <v>6641</v>
      </c>
      <c r="B3113" t="s">
        <v>1339</v>
      </c>
      <c r="C3113" t="s">
        <v>1343</v>
      </c>
    </row>
    <row r="3114" spans="1:3" x14ac:dyDescent="0.2">
      <c r="A3114" t="s">
        <v>6642</v>
      </c>
      <c r="B3114" t="s">
        <v>1339</v>
      </c>
      <c r="C3114" t="s">
        <v>1343</v>
      </c>
    </row>
    <row r="3115" spans="1:3" x14ac:dyDescent="0.2">
      <c r="A3115" t="s">
        <v>6643</v>
      </c>
      <c r="B3115" t="s">
        <v>1339</v>
      </c>
      <c r="C3115" t="s">
        <v>1343</v>
      </c>
    </row>
    <row r="3116" spans="1:3" x14ac:dyDescent="0.2">
      <c r="A3116" t="s">
        <v>6644</v>
      </c>
      <c r="B3116" t="s">
        <v>1339</v>
      </c>
      <c r="C3116" t="s">
        <v>1343</v>
      </c>
    </row>
    <row r="3117" spans="1:3" x14ac:dyDescent="0.2">
      <c r="A3117" t="s">
        <v>5727</v>
      </c>
      <c r="B3117" t="s">
        <v>1339</v>
      </c>
      <c r="C3117" t="s">
        <v>1340</v>
      </c>
    </row>
    <row r="3118" spans="1:3" x14ac:dyDescent="0.2">
      <c r="A3118" t="s">
        <v>6645</v>
      </c>
      <c r="B3118" t="s">
        <v>1339</v>
      </c>
      <c r="C3118" t="s">
        <v>1343</v>
      </c>
    </row>
    <row r="3119" spans="1:3" x14ac:dyDescent="0.2">
      <c r="A3119" t="s">
        <v>6646</v>
      </c>
      <c r="B3119" t="s">
        <v>1339</v>
      </c>
      <c r="C3119" t="s">
        <v>1343</v>
      </c>
    </row>
    <row r="3120" spans="1:3" x14ac:dyDescent="0.2">
      <c r="A3120" t="s">
        <v>6647</v>
      </c>
      <c r="B3120" t="s">
        <v>1339</v>
      </c>
      <c r="C3120" t="s">
        <v>1343</v>
      </c>
    </row>
    <row r="3121" spans="1:3" x14ac:dyDescent="0.2">
      <c r="A3121" t="s">
        <v>6648</v>
      </c>
      <c r="B3121" t="s">
        <v>1339</v>
      </c>
      <c r="C3121" t="s">
        <v>1343</v>
      </c>
    </row>
    <row r="3122" spans="1:3" x14ac:dyDescent="0.2">
      <c r="A3122" t="s">
        <v>6649</v>
      </c>
      <c r="B3122" t="s">
        <v>1339</v>
      </c>
      <c r="C3122" t="s">
        <v>1343</v>
      </c>
    </row>
    <row r="3123" spans="1:3" x14ac:dyDescent="0.2">
      <c r="A3123" t="s">
        <v>5918</v>
      </c>
      <c r="B3123" t="s">
        <v>1339</v>
      </c>
      <c r="C3123" t="s">
        <v>1343</v>
      </c>
    </row>
    <row r="3124" spans="1:3" x14ac:dyDescent="0.2">
      <c r="A3124" t="s">
        <v>6650</v>
      </c>
      <c r="B3124" t="s">
        <v>1339</v>
      </c>
      <c r="C3124" t="s">
        <v>1343</v>
      </c>
    </row>
    <row r="3125" spans="1:3" x14ac:dyDescent="0.2">
      <c r="A3125" t="s">
        <v>6651</v>
      </c>
      <c r="B3125" t="s">
        <v>1339</v>
      </c>
      <c r="C3125" t="s">
        <v>1343</v>
      </c>
    </row>
    <row r="3126" spans="1:3" x14ac:dyDescent="0.2">
      <c r="A3126" t="s">
        <v>6652</v>
      </c>
      <c r="B3126" t="s">
        <v>1339</v>
      </c>
      <c r="C3126" t="s">
        <v>1343</v>
      </c>
    </row>
    <row r="3127" spans="1:3" x14ac:dyDescent="0.2">
      <c r="A3127" t="s">
        <v>6653</v>
      </c>
      <c r="B3127" t="s">
        <v>1339</v>
      </c>
      <c r="C3127" t="s">
        <v>1343</v>
      </c>
    </row>
    <row r="3128" spans="1:3" x14ac:dyDescent="0.2">
      <c r="A3128" t="s">
        <v>6654</v>
      </c>
      <c r="B3128" t="s">
        <v>1339</v>
      </c>
      <c r="C3128" t="s">
        <v>1343</v>
      </c>
    </row>
    <row r="3129" spans="1:3" x14ac:dyDescent="0.2">
      <c r="A3129" t="s">
        <v>2141</v>
      </c>
      <c r="B3129" t="s">
        <v>1339</v>
      </c>
      <c r="C3129" t="s">
        <v>1343</v>
      </c>
    </row>
    <row r="3130" spans="1:3" x14ac:dyDescent="0.2">
      <c r="A3130" t="s">
        <v>6655</v>
      </c>
      <c r="B3130" t="s">
        <v>1339</v>
      </c>
      <c r="C3130" t="s">
        <v>1343</v>
      </c>
    </row>
    <row r="3131" spans="1:3" x14ac:dyDescent="0.2">
      <c r="A3131" t="s">
        <v>6656</v>
      </c>
      <c r="B3131" t="s">
        <v>1339</v>
      </c>
      <c r="C3131" t="s">
        <v>1343</v>
      </c>
    </row>
    <row r="3132" spans="1:3" x14ac:dyDescent="0.2">
      <c r="A3132" t="s">
        <v>6657</v>
      </c>
      <c r="B3132" t="s">
        <v>1339</v>
      </c>
      <c r="C3132" t="s">
        <v>1343</v>
      </c>
    </row>
    <row r="3133" spans="1:3" x14ac:dyDescent="0.2">
      <c r="A3133" t="s">
        <v>6658</v>
      </c>
      <c r="B3133" t="s">
        <v>1339</v>
      </c>
      <c r="C3133" t="s">
        <v>1343</v>
      </c>
    </row>
    <row r="3134" spans="1:3" x14ac:dyDescent="0.2">
      <c r="A3134" t="s">
        <v>6659</v>
      </c>
      <c r="B3134" t="s">
        <v>1339</v>
      </c>
      <c r="C3134" t="s">
        <v>1343</v>
      </c>
    </row>
    <row r="3135" spans="1:3" x14ac:dyDescent="0.2">
      <c r="A3135" t="s">
        <v>6660</v>
      </c>
      <c r="B3135" t="s">
        <v>1339</v>
      </c>
      <c r="C3135" t="s">
        <v>1343</v>
      </c>
    </row>
    <row r="3136" spans="1:3" x14ac:dyDescent="0.2">
      <c r="A3136" t="s">
        <v>6661</v>
      </c>
      <c r="B3136" t="s">
        <v>1339</v>
      </c>
      <c r="C3136" t="s">
        <v>1343</v>
      </c>
    </row>
    <row r="3137" spans="1:3" x14ac:dyDescent="0.2">
      <c r="A3137" t="s">
        <v>2142</v>
      </c>
      <c r="B3137" t="s">
        <v>1339</v>
      </c>
      <c r="C3137" t="s">
        <v>1343</v>
      </c>
    </row>
    <row r="3138" spans="1:3" x14ac:dyDescent="0.2">
      <c r="A3138" t="s">
        <v>6662</v>
      </c>
      <c r="B3138" t="s">
        <v>1339</v>
      </c>
      <c r="C3138" t="s">
        <v>1343</v>
      </c>
    </row>
    <row r="3139" spans="1:3" x14ac:dyDescent="0.2">
      <c r="A3139" t="s">
        <v>6663</v>
      </c>
      <c r="B3139" t="s">
        <v>1339</v>
      </c>
      <c r="C3139" t="s">
        <v>1343</v>
      </c>
    </row>
    <row r="3140" spans="1:3" x14ac:dyDescent="0.2">
      <c r="A3140" t="s">
        <v>6664</v>
      </c>
      <c r="B3140" t="s">
        <v>1339</v>
      </c>
      <c r="C3140" t="s">
        <v>1343</v>
      </c>
    </row>
    <row r="3141" spans="1:3" x14ac:dyDescent="0.2">
      <c r="A3141" t="s">
        <v>3885</v>
      </c>
      <c r="B3141" t="s">
        <v>1339</v>
      </c>
      <c r="C3141" t="s">
        <v>1343</v>
      </c>
    </row>
    <row r="3142" spans="1:3" x14ac:dyDescent="0.2">
      <c r="A3142" t="s">
        <v>5919</v>
      </c>
      <c r="B3142" t="s">
        <v>1339</v>
      </c>
      <c r="C3142" t="s">
        <v>1343</v>
      </c>
    </row>
    <row r="3143" spans="1:3" x14ac:dyDescent="0.2">
      <c r="A3143" t="s">
        <v>6665</v>
      </c>
      <c r="B3143" t="s">
        <v>1339</v>
      </c>
      <c r="C3143" t="s">
        <v>1343</v>
      </c>
    </row>
    <row r="3144" spans="1:3" x14ac:dyDescent="0.2">
      <c r="A3144" t="s">
        <v>6666</v>
      </c>
      <c r="B3144" t="s">
        <v>1339</v>
      </c>
      <c r="C3144" t="s">
        <v>1343</v>
      </c>
    </row>
    <row r="3145" spans="1:3" x14ac:dyDescent="0.2">
      <c r="A3145" t="s">
        <v>3886</v>
      </c>
      <c r="B3145" t="s">
        <v>1339</v>
      </c>
      <c r="C3145" t="s">
        <v>1343</v>
      </c>
    </row>
    <row r="3146" spans="1:3" x14ac:dyDescent="0.2">
      <c r="A3146" t="s">
        <v>6667</v>
      </c>
      <c r="B3146" t="s">
        <v>1339</v>
      </c>
      <c r="C3146" t="s">
        <v>1343</v>
      </c>
    </row>
    <row r="3147" spans="1:3" x14ac:dyDescent="0.2">
      <c r="A3147" t="s">
        <v>3887</v>
      </c>
      <c r="B3147" t="s">
        <v>1339</v>
      </c>
      <c r="C3147" t="s">
        <v>1343</v>
      </c>
    </row>
    <row r="3148" spans="1:3" x14ac:dyDescent="0.2">
      <c r="A3148" t="s">
        <v>6668</v>
      </c>
      <c r="B3148" t="s">
        <v>1339</v>
      </c>
      <c r="C3148" t="s">
        <v>1343</v>
      </c>
    </row>
    <row r="3149" spans="1:3" x14ac:dyDescent="0.2">
      <c r="A3149" t="s">
        <v>3888</v>
      </c>
      <c r="B3149" t="s">
        <v>1339</v>
      </c>
      <c r="C3149" t="s">
        <v>1343</v>
      </c>
    </row>
    <row r="3150" spans="1:3" x14ac:dyDescent="0.2">
      <c r="A3150" t="s">
        <v>3889</v>
      </c>
      <c r="B3150" t="s">
        <v>1339</v>
      </c>
      <c r="C3150" t="s">
        <v>1343</v>
      </c>
    </row>
    <row r="3151" spans="1:3" x14ac:dyDescent="0.2">
      <c r="A3151" t="s">
        <v>3890</v>
      </c>
      <c r="B3151" t="s">
        <v>1339</v>
      </c>
      <c r="C3151" t="s">
        <v>1343</v>
      </c>
    </row>
    <row r="3152" spans="1:3" x14ac:dyDescent="0.2">
      <c r="A3152" t="s">
        <v>3891</v>
      </c>
      <c r="B3152" t="s">
        <v>1339</v>
      </c>
      <c r="C3152" t="s">
        <v>1343</v>
      </c>
    </row>
    <row r="3153" spans="1:3" x14ac:dyDescent="0.2">
      <c r="A3153" t="s">
        <v>3892</v>
      </c>
      <c r="B3153" t="s">
        <v>1339</v>
      </c>
      <c r="C3153" t="s">
        <v>1343</v>
      </c>
    </row>
    <row r="3154" spans="1:3" x14ac:dyDescent="0.2">
      <c r="A3154" t="s">
        <v>3893</v>
      </c>
      <c r="B3154" t="s">
        <v>1339</v>
      </c>
      <c r="C3154" t="s">
        <v>1343</v>
      </c>
    </row>
    <row r="3155" spans="1:3" x14ac:dyDescent="0.2">
      <c r="A3155" t="s">
        <v>3894</v>
      </c>
      <c r="B3155" t="s">
        <v>1339</v>
      </c>
      <c r="C3155" t="s">
        <v>1343</v>
      </c>
    </row>
    <row r="3156" spans="1:3" x14ac:dyDescent="0.2">
      <c r="A3156" t="s">
        <v>3895</v>
      </c>
      <c r="B3156" t="s">
        <v>1339</v>
      </c>
      <c r="C3156" t="s">
        <v>1343</v>
      </c>
    </row>
    <row r="3157" spans="1:3" x14ac:dyDescent="0.2">
      <c r="A3157" t="s">
        <v>3896</v>
      </c>
      <c r="B3157" t="s">
        <v>1339</v>
      </c>
      <c r="C3157" t="s">
        <v>1343</v>
      </c>
    </row>
    <row r="3158" spans="1:3" x14ac:dyDescent="0.2">
      <c r="A3158" t="s">
        <v>3897</v>
      </c>
      <c r="B3158" t="s">
        <v>1339</v>
      </c>
      <c r="C3158" t="s">
        <v>1343</v>
      </c>
    </row>
    <row r="3159" spans="1:3" x14ac:dyDescent="0.2">
      <c r="A3159" t="s">
        <v>3898</v>
      </c>
      <c r="B3159" t="s">
        <v>1339</v>
      </c>
      <c r="C3159" t="s">
        <v>1343</v>
      </c>
    </row>
    <row r="3160" spans="1:3" x14ac:dyDescent="0.2">
      <c r="A3160" t="s">
        <v>2143</v>
      </c>
      <c r="B3160" t="s">
        <v>1339</v>
      </c>
      <c r="C3160" t="s">
        <v>1343</v>
      </c>
    </row>
    <row r="3161" spans="1:3" x14ac:dyDescent="0.2">
      <c r="A3161" t="s">
        <v>2144</v>
      </c>
      <c r="B3161" t="s">
        <v>1339</v>
      </c>
      <c r="C3161" t="s">
        <v>1343</v>
      </c>
    </row>
    <row r="3162" spans="1:3" x14ac:dyDescent="0.2">
      <c r="A3162" t="s">
        <v>6669</v>
      </c>
      <c r="B3162" t="s">
        <v>1339</v>
      </c>
      <c r="C3162" t="s">
        <v>1343</v>
      </c>
    </row>
    <row r="3163" spans="1:3" x14ac:dyDescent="0.2">
      <c r="A3163" t="s">
        <v>6670</v>
      </c>
      <c r="B3163" t="s">
        <v>1339</v>
      </c>
      <c r="C3163" t="s">
        <v>1343</v>
      </c>
    </row>
    <row r="3164" spans="1:3" x14ac:dyDescent="0.2">
      <c r="A3164" t="s">
        <v>3899</v>
      </c>
      <c r="B3164" t="s">
        <v>1339</v>
      </c>
      <c r="C3164" t="s">
        <v>2148</v>
      </c>
    </row>
    <row r="3165" spans="1:3" x14ac:dyDescent="0.2">
      <c r="A3165" t="s">
        <v>2147</v>
      </c>
      <c r="B3165" t="s">
        <v>1339</v>
      </c>
      <c r="C3165" t="s">
        <v>2148</v>
      </c>
    </row>
    <row r="3166" spans="1:3" x14ac:dyDescent="0.2">
      <c r="A3166" t="s">
        <v>3900</v>
      </c>
      <c r="B3166" t="s">
        <v>2150</v>
      </c>
      <c r="C3166" t="s">
        <v>2151</v>
      </c>
    </row>
    <row r="3167" spans="1:3" x14ac:dyDescent="0.2">
      <c r="A3167" t="s">
        <v>5111</v>
      </c>
      <c r="B3167" t="s">
        <v>2150</v>
      </c>
      <c r="C3167" t="s">
        <v>2151</v>
      </c>
    </row>
    <row r="3168" spans="1:3" x14ac:dyDescent="0.2">
      <c r="A3168" t="s">
        <v>3901</v>
      </c>
      <c r="B3168" t="s">
        <v>2150</v>
      </c>
      <c r="C3168" t="s">
        <v>2151</v>
      </c>
    </row>
    <row r="3169" spans="1:3" x14ac:dyDescent="0.2">
      <c r="A3169" t="s">
        <v>3902</v>
      </c>
      <c r="B3169" t="s">
        <v>2150</v>
      </c>
      <c r="C3169" t="s">
        <v>2151</v>
      </c>
    </row>
    <row r="3170" spans="1:3" x14ac:dyDescent="0.2">
      <c r="A3170" t="s">
        <v>2149</v>
      </c>
      <c r="B3170" t="s">
        <v>2150</v>
      </c>
      <c r="C3170" t="s">
        <v>2151</v>
      </c>
    </row>
    <row r="3171" spans="1:3" x14ac:dyDescent="0.2">
      <c r="A3171" t="s">
        <v>2152</v>
      </c>
      <c r="B3171" t="s">
        <v>2150</v>
      </c>
      <c r="C3171" t="s">
        <v>2151</v>
      </c>
    </row>
    <row r="3172" spans="1:3" x14ac:dyDescent="0.2">
      <c r="A3172" t="s">
        <v>3903</v>
      </c>
      <c r="B3172" t="s">
        <v>2150</v>
      </c>
      <c r="C3172" t="s">
        <v>2151</v>
      </c>
    </row>
    <row r="3173" spans="1:3" x14ac:dyDescent="0.2">
      <c r="A3173" t="s">
        <v>3904</v>
      </c>
      <c r="B3173" t="s">
        <v>2150</v>
      </c>
      <c r="C3173" t="s">
        <v>2151</v>
      </c>
    </row>
    <row r="3174" spans="1:3" x14ac:dyDescent="0.2">
      <c r="A3174" t="s">
        <v>2153</v>
      </c>
      <c r="B3174" t="s">
        <v>2150</v>
      </c>
      <c r="C3174" t="s">
        <v>2151</v>
      </c>
    </row>
    <row r="3175" spans="1:3" x14ac:dyDescent="0.2">
      <c r="A3175" t="s">
        <v>2154</v>
      </c>
      <c r="B3175" t="s">
        <v>2150</v>
      </c>
      <c r="C3175" t="s">
        <v>2151</v>
      </c>
    </row>
    <row r="3176" spans="1:3" x14ac:dyDescent="0.2">
      <c r="A3176" t="s">
        <v>2155</v>
      </c>
      <c r="B3176" t="s">
        <v>2150</v>
      </c>
      <c r="C3176" t="s">
        <v>2151</v>
      </c>
    </row>
    <row r="3177" spans="1:3" x14ac:dyDescent="0.2">
      <c r="A3177" t="s">
        <v>2156</v>
      </c>
      <c r="B3177" t="s">
        <v>2150</v>
      </c>
      <c r="C3177" t="s">
        <v>2151</v>
      </c>
    </row>
    <row r="3178" spans="1:3" x14ac:dyDescent="0.2">
      <c r="A3178" t="s">
        <v>2157</v>
      </c>
      <c r="B3178" t="s">
        <v>2150</v>
      </c>
      <c r="C3178" t="s">
        <v>2151</v>
      </c>
    </row>
    <row r="3179" spans="1:3" x14ac:dyDescent="0.2">
      <c r="A3179" t="s">
        <v>3905</v>
      </c>
      <c r="B3179" t="s">
        <v>2150</v>
      </c>
      <c r="C3179" t="s">
        <v>2184</v>
      </c>
    </row>
    <row r="3180" spans="1:3" x14ac:dyDescent="0.2">
      <c r="A3180" t="s">
        <v>3906</v>
      </c>
      <c r="B3180" t="s">
        <v>2150</v>
      </c>
      <c r="C3180" t="s">
        <v>2184</v>
      </c>
    </row>
    <row r="3181" spans="1:3" x14ac:dyDescent="0.2">
      <c r="A3181" t="s">
        <v>3907</v>
      </c>
      <c r="B3181" t="s">
        <v>2150</v>
      </c>
      <c r="C3181" t="s">
        <v>2184</v>
      </c>
    </row>
    <row r="3182" spans="1:3" x14ac:dyDescent="0.2">
      <c r="A3182" t="s">
        <v>2183</v>
      </c>
      <c r="B3182" t="s">
        <v>2150</v>
      </c>
      <c r="C3182" t="s">
        <v>2184</v>
      </c>
    </row>
    <row r="3183" spans="1:3" x14ac:dyDescent="0.2">
      <c r="A3183" t="s">
        <v>3908</v>
      </c>
      <c r="B3183" t="s">
        <v>2150</v>
      </c>
      <c r="C3183" t="s">
        <v>2151</v>
      </c>
    </row>
    <row r="3184" spans="1:3" x14ac:dyDescent="0.2">
      <c r="A3184" t="s">
        <v>3909</v>
      </c>
      <c r="B3184" t="s">
        <v>2150</v>
      </c>
      <c r="C3184" t="s">
        <v>2151</v>
      </c>
    </row>
    <row r="3185" spans="1:3" x14ac:dyDescent="0.2">
      <c r="A3185" t="s">
        <v>4594</v>
      </c>
      <c r="B3185" t="s">
        <v>2150</v>
      </c>
      <c r="C3185" t="s">
        <v>2151</v>
      </c>
    </row>
    <row r="3186" spans="1:3" x14ac:dyDescent="0.2">
      <c r="A3186" t="s">
        <v>4595</v>
      </c>
      <c r="B3186" t="s">
        <v>2150</v>
      </c>
      <c r="C3186" t="s">
        <v>2151</v>
      </c>
    </row>
    <row r="3187" spans="1:3" x14ac:dyDescent="0.2">
      <c r="A3187" t="s">
        <v>5950</v>
      </c>
      <c r="B3187" t="s">
        <v>2150</v>
      </c>
      <c r="C3187" t="s">
        <v>2151</v>
      </c>
    </row>
    <row r="3188" spans="1:3" x14ac:dyDescent="0.2">
      <c r="A3188" t="s">
        <v>2158</v>
      </c>
      <c r="B3188" t="s">
        <v>2150</v>
      </c>
      <c r="C3188" t="s">
        <v>2151</v>
      </c>
    </row>
    <row r="3189" spans="1:3" x14ac:dyDescent="0.2">
      <c r="A3189" t="s">
        <v>5525</v>
      </c>
      <c r="B3189" t="s">
        <v>2150</v>
      </c>
      <c r="C3189" t="s">
        <v>2151</v>
      </c>
    </row>
    <row r="3190" spans="1:3" x14ac:dyDescent="0.2">
      <c r="A3190" t="s">
        <v>3910</v>
      </c>
      <c r="B3190" t="s">
        <v>2150</v>
      </c>
      <c r="C3190" t="s">
        <v>2151</v>
      </c>
    </row>
    <row r="3191" spans="1:3" x14ac:dyDescent="0.2">
      <c r="A3191" t="s">
        <v>3911</v>
      </c>
      <c r="B3191" t="s">
        <v>2150</v>
      </c>
      <c r="C3191" t="s">
        <v>2151</v>
      </c>
    </row>
    <row r="3192" spans="1:3" x14ac:dyDescent="0.2">
      <c r="A3192" t="s">
        <v>2159</v>
      </c>
      <c r="B3192" t="s">
        <v>2150</v>
      </c>
      <c r="C3192" t="s">
        <v>2151</v>
      </c>
    </row>
    <row r="3193" spans="1:3" x14ac:dyDescent="0.2">
      <c r="A3193" t="s">
        <v>2160</v>
      </c>
      <c r="B3193" t="s">
        <v>2150</v>
      </c>
      <c r="C3193" t="s">
        <v>2151</v>
      </c>
    </row>
    <row r="3194" spans="1:3" x14ac:dyDescent="0.2">
      <c r="A3194" t="s">
        <v>2185</v>
      </c>
      <c r="B3194" t="s">
        <v>2150</v>
      </c>
      <c r="C3194" t="s">
        <v>2184</v>
      </c>
    </row>
    <row r="3195" spans="1:3" x14ac:dyDescent="0.2">
      <c r="A3195" t="s">
        <v>3912</v>
      </c>
      <c r="B3195" t="s">
        <v>2150</v>
      </c>
      <c r="C3195" t="s">
        <v>2184</v>
      </c>
    </row>
    <row r="3196" spans="1:3" x14ac:dyDescent="0.2">
      <c r="A3196" t="s">
        <v>3913</v>
      </c>
      <c r="B3196" t="s">
        <v>2150</v>
      </c>
      <c r="C3196" t="s">
        <v>2184</v>
      </c>
    </row>
    <row r="3197" spans="1:3" x14ac:dyDescent="0.2">
      <c r="A3197" t="s">
        <v>2186</v>
      </c>
      <c r="B3197" t="s">
        <v>2150</v>
      </c>
      <c r="C3197" t="s">
        <v>2184</v>
      </c>
    </row>
    <row r="3198" spans="1:3" x14ac:dyDescent="0.2">
      <c r="A3198" t="s">
        <v>2174</v>
      </c>
      <c r="B3198" t="s">
        <v>2150</v>
      </c>
      <c r="C3198" t="s">
        <v>2175</v>
      </c>
    </row>
    <row r="3199" spans="1:3" x14ac:dyDescent="0.2">
      <c r="A3199" t="s">
        <v>3914</v>
      </c>
      <c r="B3199" t="s">
        <v>2150</v>
      </c>
      <c r="C3199" t="s">
        <v>2184</v>
      </c>
    </row>
    <row r="3200" spans="1:3" x14ac:dyDescent="0.2">
      <c r="A3200" t="s">
        <v>5260</v>
      </c>
      <c r="B3200" t="s">
        <v>2150</v>
      </c>
      <c r="C3200" t="s">
        <v>2184</v>
      </c>
    </row>
    <row r="3201" spans="1:3" x14ac:dyDescent="0.2">
      <c r="A3201" t="s">
        <v>2187</v>
      </c>
      <c r="B3201" t="s">
        <v>2150</v>
      </c>
      <c r="C3201" t="s">
        <v>2184</v>
      </c>
    </row>
    <row r="3202" spans="1:3" x14ac:dyDescent="0.2">
      <c r="A3202" t="s">
        <v>2188</v>
      </c>
      <c r="B3202" t="s">
        <v>2150</v>
      </c>
      <c r="C3202" t="s">
        <v>2184</v>
      </c>
    </row>
    <row r="3203" spans="1:3" x14ac:dyDescent="0.2">
      <c r="A3203" t="s">
        <v>5963</v>
      </c>
      <c r="B3203" t="s">
        <v>2150</v>
      </c>
      <c r="C3203" t="s">
        <v>2175</v>
      </c>
    </row>
    <row r="3204" spans="1:3" x14ac:dyDescent="0.2">
      <c r="A3204" t="s">
        <v>6766</v>
      </c>
      <c r="B3204" t="s">
        <v>2150</v>
      </c>
      <c r="C3204" t="s">
        <v>2175</v>
      </c>
    </row>
    <row r="3205" spans="1:3" x14ac:dyDescent="0.2">
      <c r="A3205" t="s">
        <v>5958</v>
      </c>
      <c r="B3205" t="s">
        <v>2150</v>
      </c>
      <c r="C3205" t="s">
        <v>2180</v>
      </c>
    </row>
    <row r="3206" spans="1:3" x14ac:dyDescent="0.2">
      <c r="A3206" t="s">
        <v>2179</v>
      </c>
      <c r="B3206" t="s">
        <v>2150</v>
      </c>
      <c r="C3206" t="s">
        <v>2180</v>
      </c>
    </row>
    <row r="3207" spans="1:3" x14ac:dyDescent="0.2">
      <c r="A3207" t="s">
        <v>6767</v>
      </c>
      <c r="B3207" t="s">
        <v>2150</v>
      </c>
      <c r="C3207" t="s">
        <v>2180</v>
      </c>
    </row>
    <row r="3208" spans="1:3" x14ac:dyDescent="0.2">
      <c r="A3208" t="s">
        <v>6768</v>
      </c>
      <c r="B3208" t="s">
        <v>2150</v>
      </c>
      <c r="C3208" t="s">
        <v>2180</v>
      </c>
    </row>
    <row r="3209" spans="1:3" x14ac:dyDescent="0.2">
      <c r="A3209" t="s">
        <v>3915</v>
      </c>
      <c r="B3209" t="s">
        <v>1339</v>
      </c>
      <c r="C3209" t="s">
        <v>1343</v>
      </c>
    </row>
    <row r="3210" spans="1:3" x14ac:dyDescent="0.2">
      <c r="A3210" t="s">
        <v>2145</v>
      </c>
      <c r="B3210" t="s">
        <v>1339</v>
      </c>
      <c r="C3210" t="s">
        <v>1343</v>
      </c>
    </row>
    <row r="3211" spans="1:3" x14ac:dyDescent="0.2">
      <c r="A3211" t="s">
        <v>2146</v>
      </c>
      <c r="B3211" t="s">
        <v>1339</v>
      </c>
      <c r="C3211" t="s">
        <v>1343</v>
      </c>
    </row>
    <row r="3212" spans="1:3" x14ac:dyDescent="0.2">
      <c r="A3212" t="s">
        <v>5651</v>
      </c>
      <c r="B3212" t="s">
        <v>2745</v>
      </c>
      <c r="C3212" t="s">
        <v>5652</v>
      </c>
    </row>
    <row r="3213" spans="1:3" x14ac:dyDescent="0.2">
      <c r="A3213" t="s">
        <v>2744</v>
      </c>
      <c r="B3213" t="s">
        <v>2745</v>
      </c>
      <c r="C3213" t="s">
        <v>2746</v>
      </c>
    </row>
    <row r="3214" spans="1:3" x14ac:dyDescent="0.2">
      <c r="A3214" t="s">
        <v>2747</v>
      </c>
      <c r="B3214" t="s">
        <v>2745</v>
      </c>
      <c r="C3214" t="s">
        <v>2748</v>
      </c>
    </row>
    <row r="3215" spans="1:3" x14ac:dyDescent="0.2">
      <c r="A3215" t="s">
        <v>2749</v>
      </c>
      <c r="B3215" t="s">
        <v>2745</v>
      </c>
      <c r="C3215" t="s">
        <v>2750</v>
      </c>
    </row>
    <row r="3216" spans="1:3" x14ac:dyDescent="0.2">
      <c r="A3216" t="s">
        <v>2751</v>
      </c>
      <c r="B3216" t="s">
        <v>2745</v>
      </c>
      <c r="C3216" t="s">
        <v>2752</v>
      </c>
    </row>
    <row r="3217" spans="1:3" x14ac:dyDescent="0.2">
      <c r="A3217" t="s">
        <v>2753</v>
      </c>
      <c r="B3217" t="s">
        <v>2745</v>
      </c>
      <c r="C3217" t="s">
        <v>2752</v>
      </c>
    </row>
    <row r="3218" spans="1:3" x14ac:dyDescent="0.2">
      <c r="A3218" t="s">
        <v>2754</v>
      </c>
      <c r="B3218" t="s">
        <v>2745</v>
      </c>
      <c r="C3218" t="s">
        <v>2755</v>
      </c>
    </row>
    <row r="3219" spans="1:3" x14ac:dyDescent="0.2">
      <c r="A3219" t="s">
        <v>5124</v>
      </c>
      <c r="B3219" t="s">
        <v>2745</v>
      </c>
      <c r="C3219" t="s">
        <v>5125</v>
      </c>
    </row>
    <row r="3220" spans="1:3" x14ac:dyDescent="0.2">
      <c r="A3220" t="s">
        <v>2756</v>
      </c>
      <c r="B3220" t="s">
        <v>2745</v>
      </c>
      <c r="C3220" t="s">
        <v>2757</v>
      </c>
    </row>
    <row r="3221" spans="1:3" x14ac:dyDescent="0.2">
      <c r="A3221" t="s">
        <v>3916</v>
      </c>
      <c r="B3221" t="s">
        <v>2150</v>
      </c>
      <c r="C3221" t="s">
        <v>2170</v>
      </c>
    </row>
    <row r="3222" spans="1:3" x14ac:dyDescent="0.2">
      <c r="A3222" t="s">
        <v>3917</v>
      </c>
      <c r="B3222" t="s">
        <v>2150</v>
      </c>
      <c r="C3222" t="s">
        <v>2170</v>
      </c>
    </row>
    <row r="3223" spans="1:3" x14ac:dyDescent="0.2">
      <c r="A3223" t="s">
        <v>3918</v>
      </c>
      <c r="B3223" t="s">
        <v>2150</v>
      </c>
      <c r="C3223" t="s">
        <v>2170</v>
      </c>
    </row>
    <row r="3224" spans="1:3" x14ac:dyDescent="0.2">
      <c r="A3224" t="s">
        <v>3919</v>
      </c>
      <c r="B3224" t="s">
        <v>2150</v>
      </c>
      <c r="C3224" t="s">
        <v>2170</v>
      </c>
    </row>
    <row r="3225" spans="1:3" x14ac:dyDescent="0.2">
      <c r="A3225" t="s">
        <v>3920</v>
      </c>
      <c r="B3225" t="s">
        <v>2150</v>
      </c>
      <c r="C3225" t="s">
        <v>2170</v>
      </c>
    </row>
    <row r="3226" spans="1:3" x14ac:dyDescent="0.2">
      <c r="A3226" t="s">
        <v>3921</v>
      </c>
      <c r="B3226" t="s">
        <v>2150</v>
      </c>
      <c r="C3226" t="s">
        <v>2170</v>
      </c>
    </row>
    <row r="3227" spans="1:3" x14ac:dyDescent="0.2">
      <c r="A3227" t="s">
        <v>2169</v>
      </c>
      <c r="B3227" t="s">
        <v>2150</v>
      </c>
      <c r="C3227" t="s">
        <v>2170</v>
      </c>
    </row>
    <row r="3228" spans="1:3" x14ac:dyDescent="0.2">
      <c r="A3228" t="s">
        <v>2171</v>
      </c>
      <c r="B3228" t="s">
        <v>2150</v>
      </c>
      <c r="C3228" t="s">
        <v>2170</v>
      </c>
    </row>
    <row r="3229" spans="1:3" x14ac:dyDescent="0.2">
      <c r="A3229" t="s">
        <v>2172</v>
      </c>
      <c r="B3229" t="s">
        <v>2150</v>
      </c>
      <c r="C3229" t="s">
        <v>2170</v>
      </c>
    </row>
    <row r="3230" spans="1:3" x14ac:dyDescent="0.2">
      <c r="A3230" t="s">
        <v>2173</v>
      </c>
      <c r="B3230" t="s">
        <v>2150</v>
      </c>
      <c r="C3230" t="s">
        <v>2170</v>
      </c>
    </row>
    <row r="3231" spans="1:3" x14ac:dyDescent="0.2">
      <c r="A3231" t="s">
        <v>3922</v>
      </c>
      <c r="B3231" t="s">
        <v>2150</v>
      </c>
      <c r="C3231" t="s">
        <v>2162</v>
      </c>
    </row>
    <row r="3232" spans="1:3" x14ac:dyDescent="0.2">
      <c r="A3232" t="s">
        <v>3923</v>
      </c>
      <c r="B3232" t="s">
        <v>2150</v>
      </c>
      <c r="C3232" t="s">
        <v>2162</v>
      </c>
    </row>
    <row r="3233" spans="1:3" x14ac:dyDescent="0.2">
      <c r="A3233" t="s">
        <v>3924</v>
      </c>
      <c r="B3233" t="s">
        <v>2150</v>
      </c>
      <c r="C3233" t="s">
        <v>2162</v>
      </c>
    </row>
    <row r="3234" spans="1:3" x14ac:dyDescent="0.2">
      <c r="A3234" t="s">
        <v>3925</v>
      </c>
      <c r="B3234" t="s">
        <v>2150</v>
      </c>
      <c r="C3234" t="s">
        <v>2162</v>
      </c>
    </row>
    <row r="3235" spans="1:3" x14ac:dyDescent="0.2">
      <c r="A3235" t="s">
        <v>3926</v>
      </c>
      <c r="B3235" t="s">
        <v>2150</v>
      </c>
      <c r="C3235" t="s">
        <v>2162</v>
      </c>
    </row>
    <row r="3236" spans="1:3" x14ac:dyDescent="0.2">
      <c r="A3236" t="s">
        <v>3927</v>
      </c>
      <c r="B3236" t="s">
        <v>2150</v>
      </c>
      <c r="C3236" t="s">
        <v>2162</v>
      </c>
    </row>
    <row r="3237" spans="1:3" x14ac:dyDescent="0.2">
      <c r="A3237" t="s">
        <v>2161</v>
      </c>
      <c r="B3237" t="s">
        <v>2150</v>
      </c>
      <c r="C3237" t="s">
        <v>2162</v>
      </c>
    </row>
    <row r="3238" spans="1:3" x14ac:dyDescent="0.2">
      <c r="A3238" t="s">
        <v>2163</v>
      </c>
      <c r="B3238" t="s">
        <v>2150</v>
      </c>
      <c r="C3238" t="s">
        <v>2162</v>
      </c>
    </row>
    <row r="3239" spans="1:3" x14ac:dyDescent="0.2">
      <c r="A3239" t="s">
        <v>2164</v>
      </c>
      <c r="B3239" t="s">
        <v>2150</v>
      </c>
      <c r="C3239" t="s">
        <v>2162</v>
      </c>
    </row>
    <row r="3240" spans="1:3" x14ac:dyDescent="0.2">
      <c r="A3240" t="s">
        <v>5123</v>
      </c>
      <c r="B3240" t="s">
        <v>2150</v>
      </c>
      <c r="C3240" t="s">
        <v>2162</v>
      </c>
    </row>
    <row r="3241" spans="1:3" x14ac:dyDescent="0.2">
      <c r="A3241" t="s">
        <v>3928</v>
      </c>
      <c r="B3241" t="s">
        <v>2150</v>
      </c>
      <c r="C3241" t="s">
        <v>2162</v>
      </c>
    </row>
    <row r="3242" spans="1:3" x14ac:dyDescent="0.2">
      <c r="A3242" t="s">
        <v>3929</v>
      </c>
      <c r="B3242" t="s">
        <v>2150</v>
      </c>
      <c r="C3242" t="s">
        <v>2162</v>
      </c>
    </row>
    <row r="3243" spans="1:3" x14ac:dyDescent="0.2">
      <c r="A3243" t="s">
        <v>3930</v>
      </c>
      <c r="B3243" t="s">
        <v>2150</v>
      </c>
      <c r="C3243" t="s">
        <v>2162</v>
      </c>
    </row>
    <row r="3244" spans="1:3" x14ac:dyDescent="0.2">
      <c r="A3244" t="s">
        <v>3931</v>
      </c>
      <c r="B3244" t="s">
        <v>2150</v>
      </c>
      <c r="C3244" t="s">
        <v>2162</v>
      </c>
    </row>
    <row r="3245" spans="1:3" x14ac:dyDescent="0.2">
      <c r="A3245" t="s">
        <v>3932</v>
      </c>
      <c r="B3245" t="s">
        <v>2150</v>
      </c>
      <c r="C3245" t="s">
        <v>2162</v>
      </c>
    </row>
    <row r="3246" spans="1:3" x14ac:dyDescent="0.2">
      <c r="A3246" t="s">
        <v>3933</v>
      </c>
      <c r="B3246" t="s">
        <v>2150</v>
      </c>
      <c r="C3246" t="s">
        <v>2162</v>
      </c>
    </row>
    <row r="3247" spans="1:3" x14ac:dyDescent="0.2">
      <c r="A3247" t="s">
        <v>3934</v>
      </c>
      <c r="B3247" t="s">
        <v>2150</v>
      </c>
      <c r="C3247" t="s">
        <v>2162</v>
      </c>
    </row>
    <row r="3248" spans="1:3" x14ac:dyDescent="0.2">
      <c r="A3248" t="s">
        <v>2165</v>
      </c>
      <c r="B3248" t="s">
        <v>2150</v>
      </c>
      <c r="C3248" t="s">
        <v>2162</v>
      </c>
    </row>
    <row r="3249" spans="1:3" x14ac:dyDescent="0.2">
      <c r="A3249" t="s">
        <v>2166</v>
      </c>
      <c r="B3249" t="s">
        <v>2150</v>
      </c>
      <c r="C3249" t="s">
        <v>2162</v>
      </c>
    </row>
    <row r="3250" spans="1:3" x14ac:dyDescent="0.2">
      <c r="A3250" t="s">
        <v>2167</v>
      </c>
      <c r="B3250" t="s">
        <v>2150</v>
      </c>
      <c r="C3250" t="s">
        <v>2162</v>
      </c>
    </row>
    <row r="3251" spans="1:3" x14ac:dyDescent="0.2">
      <c r="A3251" t="s">
        <v>2168</v>
      </c>
      <c r="B3251" t="s">
        <v>2150</v>
      </c>
      <c r="C3251" t="s">
        <v>2162</v>
      </c>
    </row>
    <row r="3252" spans="1:3" x14ac:dyDescent="0.2">
      <c r="A3252" t="s">
        <v>3935</v>
      </c>
      <c r="B3252" t="s">
        <v>2150</v>
      </c>
      <c r="C3252" t="s">
        <v>2175</v>
      </c>
    </row>
    <row r="3253" spans="1:3" x14ac:dyDescent="0.2">
      <c r="A3253" t="s">
        <v>3936</v>
      </c>
      <c r="B3253" t="s">
        <v>2150</v>
      </c>
      <c r="C3253" t="s">
        <v>2175</v>
      </c>
    </row>
    <row r="3254" spans="1:3" x14ac:dyDescent="0.2">
      <c r="A3254" t="s">
        <v>2176</v>
      </c>
      <c r="B3254" t="s">
        <v>2150</v>
      </c>
      <c r="C3254" t="s">
        <v>2175</v>
      </c>
    </row>
    <row r="3255" spans="1:3" x14ac:dyDescent="0.2">
      <c r="A3255" t="s">
        <v>2177</v>
      </c>
      <c r="B3255" t="s">
        <v>2150</v>
      </c>
      <c r="C3255" t="s">
        <v>2175</v>
      </c>
    </row>
    <row r="3256" spans="1:3" x14ac:dyDescent="0.2">
      <c r="A3256" t="s">
        <v>2178</v>
      </c>
      <c r="B3256" t="s">
        <v>2150</v>
      </c>
      <c r="C3256" t="s">
        <v>2175</v>
      </c>
    </row>
    <row r="3257" spans="1:3" x14ac:dyDescent="0.2">
      <c r="A3257" t="s">
        <v>3937</v>
      </c>
      <c r="B3257" t="s">
        <v>2150</v>
      </c>
      <c r="C3257" t="s">
        <v>2180</v>
      </c>
    </row>
    <row r="3258" spans="1:3" x14ac:dyDescent="0.2">
      <c r="A3258" t="s">
        <v>3938</v>
      </c>
      <c r="B3258" t="s">
        <v>2150</v>
      </c>
      <c r="C3258" t="s">
        <v>2180</v>
      </c>
    </row>
    <row r="3259" spans="1:3" x14ac:dyDescent="0.2">
      <c r="A3259" t="s">
        <v>3939</v>
      </c>
      <c r="B3259" t="s">
        <v>2150</v>
      </c>
      <c r="C3259" t="s">
        <v>2180</v>
      </c>
    </row>
    <row r="3260" spans="1:3" x14ac:dyDescent="0.2">
      <c r="A3260" t="s">
        <v>2181</v>
      </c>
      <c r="B3260" t="s">
        <v>2150</v>
      </c>
      <c r="C3260" t="s">
        <v>2180</v>
      </c>
    </row>
    <row r="3261" spans="1:3" x14ac:dyDescent="0.2">
      <c r="A3261" t="s">
        <v>2182</v>
      </c>
      <c r="B3261" t="s">
        <v>2150</v>
      </c>
      <c r="C3261" t="s">
        <v>2180</v>
      </c>
    </row>
    <row r="3262" spans="1:3" x14ac:dyDescent="0.2">
      <c r="A3262" t="s">
        <v>3940</v>
      </c>
      <c r="B3262" t="s">
        <v>1331</v>
      </c>
      <c r="C3262" t="s">
        <v>2190</v>
      </c>
    </row>
    <row r="3263" spans="1:3" x14ac:dyDescent="0.2">
      <c r="A3263" t="s">
        <v>3941</v>
      </c>
      <c r="B3263" t="s">
        <v>1331</v>
      </c>
      <c r="C3263" t="s">
        <v>2190</v>
      </c>
    </row>
    <row r="3264" spans="1:3" x14ac:dyDescent="0.2">
      <c r="A3264" t="s">
        <v>3942</v>
      </c>
      <c r="B3264" t="s">
        <v>1331</v>
      </c>
      <c r="C3264" t="s">
        <v>2190</v>
      </c>
    </row>
    <row r="3265" spans="1:3" x14ac:dyDescent="0.2">
      <c r="A3265" t="s">
        <v>3943</v>
      </c>
      <c r="B3265" t="s">
        <v>1331</v>
      </c>
      <c r="C3265" t="s">
        <v>2190</v>
      </c>
    </row>
    <row r="3266" spans="1:3" x14ac:dyDescent="0.2">
      <c r="A3266" t="s">
        <v>3944</v>
      </c>
      <c r="B3266" t="s">
        <v>1331</v>
      </c>
      <c r="C3266" t="s">
        <v>2190</v>
      </c>
    </row>
    <row r="3267" spans="1:3" x14ac:dyDescent="0.2">
      <c r="A3267" t="s">
        <v>3945</v>
      </c>
      <c r="B3267" t="s">
        <v>1331</v>
      </c>
      <c r="C3267" t="s">
        <v>2190</v>
      </c>
    </row>
    <row r="3268" spans="1:3" x14ac:dyDescent="0.2">
      <c r="A3268" t="s">
        <v>3946</v>
      </c>
      <c r="B3268" t="s">
        <v>1331</v>
      </c>
      <c r="C3268" t="s">
        <v>2190</v>
      </c>
    </row>
    <row r="3269" spans="1:3" x14ac:dyDescent="0.2">
      <c r="A3269" t="s">
        <v>3947</v>
      </c>
      <c r="B3269" t="s">
        <v>1331</v>
      </c>
      <c r="C3269" t="s">
        <v>2190</v>
      </c>
    </row>
    <row r="3270" spans="1:3" x14ac:dyDescent="0.2">
      <c r="A3270" t="s">
        <v>3948</v>
      </c>
      <c r="B3270" t="s">
        <v>1331</v>
      </c>
      <c r="C3270" t="s">
        <v>2190</v>
      </c>
    </row>
    <row r="3271" spans="1:3" x14ac:dyDescent="0.2">
      <c r="A3271" t="s">
        <v>3949</v>
      </c>
      <c r="B3271" t="s">
        <v>1331</v>
      </c>
      <c r="C3271" t="s">
        <v>2190</v>
      </c>
    </row>
    <row r="3272" spans="1:3" x14ac:dyDescent="0.2">
      <c r="A3272" t="s">
        <v>3950</v>
      </c>
      <c r="B3272" t="s">
        <v>1331</v>
      </c>
      <c r="C3272" t="s">
        <v>2190</v>
      </c>
    </row>
    <row r="3273" spans="1:3" x14ac:dyDescent="0.2">
      <c r="A3273" t="s">
        <v>3951</v>
      </c>
      <c r="B3273" t="s">
        <v>1331</v>
      </c>
      <c r="C3273" t="s">
        <v>2190</v>
      </c>
    </row>
    <row r="3274" spans="1:3" x14ac:dyDescent="0.2">
      <c r="A3274" t="s">
        <v>3952</v>
      </c>
      <c r="B3274" t="s">
        <v>1331</v>
      </c>
      <c r="C3274" t="s">
        <v>2190</v>
      </c>
    </row>
    <row r="3275" spans="1:3" x14ac:dyDescent="0.2">
      <c r="A3275" t="s">
        <v>2189</v>
      </c>
      <c r="B3275" t="s">
        <v>1331</v>
      </c>
      <c r="C3275" t="s">
        <v>2190</v>
      </c>
    </row>
    <row r="3276" spans="1:3" x14ac:dyDescent="0.2">
      <c r="A3276" t="s">
        <v>2191</v>
      </c>
      <c r="B3276" t="s">
        <v>1331</v>
      </c>
      <c r="C3276" t="s">
        <v>2190</v>
      </c>
    </row>
    <row r="3277" spans="1:3" x14ac:dyDescent="0.2">
      <c r="A3277" t="s">
        <v>2192</v>
      </c>
      <c r="B3277" t="s">
        <v>1331</v>
      </c>
      <c r="C3277" t="s">
        <v>2190</v>
      </c>
    </row>
    <row r="3278" spans="1:3" x14ac:dyDescent="0.2">
      <c r="A3278" t="s">
        <v>2193</v>
      </c>
      <c r="B3278" t="s">
        <v>1331</v>
      </c>
      <c r="C3278" t="s">
        <v>2190</v>
      </c>
    </row>
    <row r="3279" spans="1:3" x14ac:dyDescent="0.2">
      <c r="A3279" t="s">
        <v>4954</v>
      </c>
      <c r="B3279" t="s">
        <v>1331</v>
      </c>
      <c r="C3279" t="s">
        <v>2190</v>
      </c>
    </row>
    <row r="3280" spans="1:3" x14ac:dyDescent="0.2">
      <c r="A3280" t="s">
        <v>5648</v>
      </c>
      <c r="B3280" t="s">
        <v>1331</v>
      </c>
      <c r="C3280" t="s">
        <v>2190</v>
      </c>
    </row>
    <row r="3281" spans="1:3" x14ac:dyDescent="0.2">
      <c r="A3281" t="s">
        <v>4721</v>
      </c>
      <c r="B3281" t="s">
        <v>1331</v>
      </c>
      <c r="C3281" t="s">
        <v>2190</v>
      </c>
    </row>
    <row r="3282" spans="1:3" x14ac:dyDescent="0.2">
      <c r="A3282" t="s">
        <v>5760</v>
      </c>
      <c r="B3282" t="s">
        <v>1331</v>
      </c>
      <c r="C3282" t="s">
        <v>2190</v>
      </c>
    </row>
    <row r="3283" spans="1:3" x14ac:dyDescent="0.2">
      <c r="A3283" t="s">
        <v>5951</v>
      </c>
      <c r="B3283" t="s">
        <v>1331</v>
      </c>
      <c r="C3283" t="s">
        <v>2190</v>
      </c>
    </row>
    <row r="3284" spans="1:3" x14ac:dyDescent="0.2">
      <c r="A3284" t="s">
        <v>5649</v>
      </c>
      <c r="B3284" t="s">
        <v>1331</v>
      </c>
      <c r="C3284" t="s">
        <v>2190</v>
      </c>
    </row>
    <row r="3285" spans="1:3" x14ac:dyDescent="0.2">
      <c r="A3285" t="s">
        <v>3953</v>
      </c>
      <c r="B3285" t="s">
        <v>1331</v>
      </c>
      <c r="C3285" t="s">
        <v>2615</v>
      </c>
    </row>
    <row r="3286" spans="1:3" x14ac:dyDescent="0.2">
      <c r="A3286" t="s">
        <v>3954</v>
      </c>
      <c r="B3286" t="s">
        <v>1331</v>
      </c>
      <c r="C3286" t="s">
        <v>2615</v>
      </c>
    </row>
    <row r="3287" spans="1:3" x14ac:dyDescent="0.2">
      <c r="A3287" t="s">
        <v>3955</v>
      </c>
      <c r="B3287" t="s">
        <v>1331</v>
      </c>
      <c r="C3287" t="s">
        <v>2615</v>
      </c>
    </row>
    <row r="3288" spans="1:3" x14ac:dyDescent="0.2">
      <c r="A3288" t="s">
        <v>3956</v>
      </c>
      <c r="B3288" t="s">
        <v>1331</v>
      </c>
      <c r="C3288" t="s">
        <v>2615</v>
      </c>
    </row>
    <row r="3289" spans="1:3" x14ac:dyDescent="0.2">
      <c r="A3289" t="s">
        <v>2614</v>
      </c>
      <c r="B3289" t="s">
        <v>1331</v>
      </c>
      <c r="C3289" t="s">
        <v>2615</v>
      </c>
    </row>
    <row r="3290" spans="1:3" x14ac:dyDescent="0.2">
      <c r="A3290" t="s">
        <v>2616</v>
      </c>
      <c r="B3290" t="s">
        <v>1331</v>
      </c>
      <c r="C3290" t="s">
        <v>2615</v>
      </c>
    </row>
    <row r="3291" spans="1:3" x14ac:dyDescent="0.2">
      <c r="A3291" t="s">
        <v>3957</v>
      </c>
      <c r="B3291" t="s">
        <v>1331</v>
      </c>
      <c r="C3291" t="s">
        <v>2615</v>
      </c>
    </row>
    <row r="3292" spans="1:3" x14ac:dyDescent="0.2">
      <c r="A3292" t="s">
        <v>3958</v>
      </c>
      <c r="B3292" t="s">
        <v>1331</v>
      </c>
      <c r="C3292" t="s">
        <v>2615</v>
      </c>
    </row>
    <row r="3293" spans="1:3" x14ac:dyDescent="0.2">
      <c r="A3293" t="s">
        <v>2617</v>
      </c>
      <c r="B3293" t="s">
        <v>1331</v>
      </c>
      <c r="C3293" t="s">
        <v>2615</v>
      </c>
    </row>
    <row r="3294" spans="1:3" x14ac:dyDescent="0.2">
      <c r="A3294" t="s">
        <v>2618</v>
      </c>
      <c r="B3294" t="s">
        <v>1331</v>
      </c>
      <c r="C3294" t="s">
        <v>2615</v>
      </c>
    </row>
    <row r="3295" spans="1:3" x14ac:dyDescent="0.2">
      <c r="A3295" t="s">
        <v>2619</v>
      </c>
      <c r="B3295" t="s">
        <v>1331</v>
      </c>
      <c r="C3295" t="s">
        <v>2615</v>
      </c>
    </row>
    <row r="3296" spans="1:3" x14ac:dyDescent="0.2">
      <c r="A3296" t="s">
        <v>3959</v>
      </c>
      <c r="B3296" t="s">
        <v>1331</v>
      </c>
      <c r="C3296" t="s">
        <v>2621</v>
      </c>
    </row>
    <row r="3297" spans="1:3" x14ac:dyDescent="0.2">
      <c r="A3297" t="s">
        <v>3960</v>
      </c>
      <c r="B3297" t="s">
        <v>1331</v>
      </c>
      <c r="C3297" t="s">
        <v>2621</v>
      </c>
    </row>
    <row r="3298" spans="1:3" x14ac:dyDescent="0.2">
      <c r="A3298" t="s">
        <v>2620</v>
      </c>
      <c r="B3298" t="s">
        <v>1331</v>
      </c>
      <c r="C3298" t="s">
        <v>2621</v>
      </c>
    </row>
    <row r="3299" spans="1:3" x14ac:dyDescent="0.2">
      <c r="A3299" t="s">
        <v>2622</v>
      </c>
      <c r="B3299" t="s">
        <v>1331</v>
      </c>
      <c r="C3299" t="s">
        <v>2621</v>
      </c>
    </row>
    <row r="3300" spans="1:3" x14ac:dyDescent="0.2">
      <c r="A3300" t="s">
        <v>2623</v>
      </c>
      <c r="B3300" t="s">
        <v>1331</v>
      </c>
      <c r="C3300" t="s">
        <v>2621</v>
      </c>
    </row>
    <row r="3301" spans="1:3" x14ac:dyDescent="0.2">
      <c r="A3301" t="s">
        <v>2624</v>
      </c>
      <c r="B3301" t="s">
        <v>1331</v>
      </c>
      <c r="C3301" t="s">
        <v>2621</v>
      </c>
    </row>
    <row r="3302" spans="1:3" x14ac:dyDescent="0.2">
      <c r="A3302" t="s">
        <v>3961</v>
      </c>
      <c r="B3302" t="s">
        <v>1331</v>
      </c>
      <c r="C3302" t="s">
        <v>2626</v>
      </c>
    </row>
    <row r="3303" spans="1:3" x14ac:dyDescent="0.2">
      <c r="A3303" t="s">
        <v>3962</v>
      </c>
      <c r="B3303" t="s">
        <v>1331</v>
      </c>
      <c r="C3303" t="s">
        <v>2626</v>
      </c>
    </row>
    <row r="3304" spans="1:3" x14ac:dyDescent="0.2">
      <c r="A3304" t="s">
        <v>3963</v>
      </c>
      <c r="B3304" t="s">
        <v>1331</v>
      </c>
      <c r="C3304" t="s">
        <v>2626</v>
      </c>
    </row>
    <row r="3305" spans="1:3" x14ac:dyDescent="0.2">
      <c r="A3305" t="s">
        <v>3964</v>
      </c>
      <c r="B3305" t="s">
        <v>1331</v>
      </c>
      <c r="C3305" t="s">
        <v>2626</v>
      </c>
    </row>
    <row r="3306" spans="1:3" x14ac:dyDescent="0.2">
      <c r="A3306" t="s">
        <v>3965</v>
      </c>
      <c r="B3306" t="s">
        <v>1331</v>
      </c>
      <c r="C3306" t="s">
        <v>2626</v>
      </c>
    </row>
    <row r="3307" spans="1:3" x14ac:dyDescent="0.2">
      <c r="A3307" t="s">
        <v>3966</v>
      </c>
      <c r="B3307" t="s">
        <v>1331</v>
      </c>
      <c r="C3307" t="s">
        <v>2626</v>
      </c>
    </row>
    <row r="3308" spans="1:3" x14ac:dyDescent="0.2">
      <c r="A3308" t="s">
        <v>3967</v>
      </c>
      <c r="B3308" t="s">
        <v>1331</v>
      </c>
      <c r="C3308" t="s">
        <v>2626</v>
      </c>
    </row>
    <row r="3309" spans="1:3" x14ac:dyDescent="0.2">
      <c r="A3309" t="s">
        <v>2625</v>
      </c>
      <c r="B3309" t="s">
        <v>1331</v>
      </c>
      <c r="C3309" t="s">
        <v>2626</v>
      </c>
    </row>
    <row r="3310" spans="1:3" x14ac:dyDescent="0.2">
      <c r="A3310" t="s">
        <v>5112</v>
      </c>
      <c r="B3310" t="s">
        <v>1331</v>
      </c>
      <c r="C3310" t="s">
        <v>2626</v>
      </c>
    </row>
    <row r="3311" spans="1:3" x14ac:dyDescent="0.2">
      <c r="A3311" t="s">
        <v>4997</v>
      </c>
      <c r="B3311" t="s">
        <v>1331</v>
      </c>
      <c r="C3311" t="s">
        <v>2626</v>
      </c>
    </row>
    <row r="3312" spans="1:3" x14ac:dyDescent="0.2">
      <c r="A3312" t="s">
        <v>5113</v>
      </c>
      <c r="B3312" t="s">
        <v>1331</v>
      </c>
      <c r="C3312" t="s">
        <v>2626</v>
      </c>
    </row>
    <row r="3313" spans="1:3" x14ac:dyDescent="0.2">
      <c r="A3313" t="s">
        <v>5650</v>
      </c>
      <c r="B3313" t="s">
        <v>1331</v>
      </c>
      <c r="C3313" t="s">
        <v>2626</v>
      </c>
    </row>
    <row r="3314" spans="1:3" x14ac:dyDescent="0.2">
      <c r="A3314" t="s">
        <v>4998</v>
      </c>
      <c r="B3314" t="s">
        <v>1331</v>
      </c>
      <c r="C3314" t="s">
        <v>2626</v>
      </c>
    </row>
    <row r="3315" spans="1:3" x14ac:dyDescent="0.2">
      <c r="A3315" t="s">
        <v>6769</v>
      </c>
      <c r="B3315" t="s">
        <v>1331</v>
      </c>
      <c r="C3315" t="s">
        <v>2626</v>
      </c>
    </row>
    <row r="3316" spans="1:3" x14ac:dyDescent="0.2">
      <c r="A3316" t="s">
        <v>2627</v>
      </c>
      <c r="B3316" t="s">
        <v>1331</v>
      </c>
      <c r="C3316" t="s">
        <v>2626</v>
      </c>
    </row>
    <row r="3317" spans="1:3" x14ac:dyDescent="0.2">
      <c r="A3317" t="s">
        <v>4999</v>
      </c>
      <c r="B3317" t="s">
        <v>1331</v>
      </c>
      <c r="C3317" t="s">
        <v>2626</v>
      </c>
    </row>
    <row r="3318" spans="1:3" x14ac:dyDescent="0.2">
      <c r="A3318" t="s">
        <v>5952</v>
      </c>
      <c r="B3318" t="s">
        <v>1331</v>
      </c>
      <c r="C3318" t="s">
        <v>2626</v>
      </c>
    </row>
    <row r="3319" spans="1:3" x14ac:dyDescent="0.2">
      <c r="A3319" t="s">
        <v>6770</v>
      </c>
      <c r="B3319" t="s">
        <v>1331</v>
      </c>
      <c r="C3319" t="s">
        <v>2626</v>
      </c>
    </row>
    <row r="3320" spans="1:3" x14ac:dyDescent="0.2">
      <c r="A3320" t="s">
        <v>5114</v>
      </c>
      <c r="B3320" t="s">
        <v>1331</v>
      </c>
      <c r="C3320" t="s">
        <v>2626</v>
      </c>
    </row>
    <row r="3321" spans="1:3" x14ac:dyDescent="0.2">
      <c r="A3321" t="s">
        <v>2628</v>
      </c>
      <c r="B3321" t="s">
        <v>1331</v>
      </c>
      <c r="C3321" t="s">
        <v>2626</v>
      </c>
    </row>
    <row r="3322" spans="1:3" x14ac:dyDescent="0.2">
      <c r="A3322" t="s">
        <v>2629</v>
      </c>
      <c r="B3322" t="s">
        <v>1331</v>
      </c>
      <c r="C3322" t="s">
        <v>2626</v>
      </c>
    </row>
    <row r="3323" spans="1:3" x14ac:dyDescent="0.2">
      <c r="A3323" t="s">
        <v>3968</v>
      </c>
      <c r="B3323" t="s">
        <v>1331</v>
      </c>
      <c r="C3323" t="s">
        <v>2631</v>
      </c>
    </row>
    <row r="3324" spans="1:3" x14ac:dyDescent="0.2">
      <c r="A3324" t="s">
        <v>3969</v>
      </c>
      <c r="B3324" t="s">
        <v>1331</v>
      </c>
      <c r="C3324" t="s">
        <v>2631</v>
      </c>
    </row>
    <row r="3325" spans="1:3" x14ac:dyDescent="0.2">
      <c r="A3325" t="s">
        <v>2630</v>
      </c>
      <c r="B3325" t="s">
        <v>1331</v>
      </c>
      <c r="C3325" t="s">
        <v>2631</v>
      </c>
    </row>
    <row r="3326" spans="1:3" x14ac:dyDescent="0.2">
      <c r="A3326" t="s">
        <v>3970</v>
      </c>
      <c r="B3326" t="s">
        <v>1331</v>
      </c>
      <c r="C3326" t="s">
        <v>2633</v>
      </c>
    </row>
    <row r="3327" spans="1:3" x14ac:dyDescent="0.2">
      <c r="A3327" t="s">
        <v>3971</v>
      </c>
      <c r="B3327" t="s">
        <v>1331</v>
      </c>
      <c r="C3327" t="s">
        <v>2633</v>
      </c>
    </row>
    <row r="3328" spans="1:3" x14ac:dyDescent="0.2">
      <c r="A3328" t="s">
        <v>3972</v>
      </c>
      <c r="B3328" t="s">
        <v>1331</v>
      </c>
      <c r="C3328" t="s">
        <v>2633</v>
      </c>
    </row>
    <row r="3329" spans="1:3" x14ac:dyDescent="0.2">
      <c r="A3329" t="s">
        <v>3973</v>
      </c>
      <c r="B3329" t="s">
        <v>1331</v>
      </c>
      <c r="C3329" t="s">
        <v>2633</v>
      </c>
    </row>
    <row r="3330" spans="1:3" x14ac:dyDescent="0.2">
      <c r="A3330" t="s">
        <v>3974</v>
      </c>
      <c r="B3330" t="s">
        <v>1331</v>
      </c>
      <c r="C3330" t="s">
        <v>2633</v>
      </c>
    </row>
    <row r="3331" spans="1:3" x14ac:dyDescent="0.2">
      <c r="A3331" t="s">
        <v>3975</v>
      </c>
      <c r="B3331" t="s">
        <v>1331</v>
      </c>
      <c r="C3331" t="s">
        <v>2633</v>
      </c>
    </row>
    <row r="3332" spans="1:3" x14ac:dyDescent="0.2">
      <c r="A3332" t="s">
        <v>3976</v>
      </c>
      <c r="B3332" t="s">
        <v>1331</v>
      </c>
      <c r="C3332" t="s">
        <v>2633</v>
      </c>
    </row>
    <row r="3333" spans="1:3" x14ac:dyDescent="0.2">
      <c r="A3333" t="s">
        <v>3977</v>
      </c>
      <c r="B3333" t="s">
        <v>1331</v>
      </c>
      <c r="C3333" t="s">
        <v>2633</v>
      </c>
    </row>
    <row r="3334" spans="1:3" x14ac:dyDescent="0.2">
      <c r="A3334" t="s">
        <v>3978</v>
      </c>
      <c r="B3334" t="s">
        <v>1331</v>
      </c>
      <c r="C3334" t="s">
        <v>2633</v>
      </c>
    </row>
    <row r="3335" spans="1:3" x14ac:dyDescent="0.2">
      <c r="A3335" t="s">
        <v>3979</v>
      </c>
      <c r="B3335" t="s">
        <v>1331</v>
      </c>
      <c r="C3335" t="s">
        <v>2633</v>
      </c>
    </row>
    <row r="3336" spans="1:3" x14ac:dyDescent="0.2">
      <c r="A3336" t="s">
        <v>3980</v>
      </c>
      <c r="B3336" t="s">
        <v>1331</v>
      </c>
      <c r="C3336" t="s">
        <v>2633</v>
      </c>
    </row>
    <row r="3337" spans="1:3" x14ac:dyDescent="0.2">
      <c r="A3337" t="s">
        <v>3981</v>
      </c>
      <c r="B3337" t="s">
        <v>1331</v>
      </c>
      <c r="C3337" t="s">
        <v>2633</v>
      </c>
    </row>
    <row r="3338" spans="1:3" x14ac:dyDescent="0.2">
      <c r="A3338" t="s">
        <v>3982</v>
      </c>
      <c r="B3338" t="s">
        <v>1331</v>
      </c>
      <c r="C3338" t="s">
        <v>2633</v>
      </c>
    </row>
    <row r="3339" spans="1:3" x14ac:dyDescent="0.2">
      <c r="A3339" t="s">
        <v>3983</v>
      </c>
      <c r="B3339" t="s">
        <v>1331</v>
      </c>
      <c r="C3339" t="s">
        <v>2633</v>
      </c>
    </row>
    <row r="3340" spans="1:3" x14ac:dyDescent="0.2">
      <c r="A3340" t="s">
        <v>3984</v>
      </c>
      <c r="B3340" t="s">
        <v>1331</v>
      </c>
      <c r="C3340" t="s">
        <v>2633</v>
      </c>
    </row>
    <row r="3341" spans="1:3" x14ac:dyDescent="0.2">
      <c r="A3341" t="s">
        <v>3985</v>
      </c>
      <c r="B3341" t="s">
        <v>1331</v>
      </c>
      <c r="C3341" t="s">
        <v>2633</v>
      </c>
    </row>
    <row r="3342" spans="1:3" x14ac:dyDescent="0.2">
      <c r="A3342" t="s">
        <v>3986</v>
      </c>
      <c r="B3342" t="s">
        <v>1331</v>
      </c>
      <c r="C3342" t="s">
        <v>2633</v>
      </c>
    </row>
    <row r="3343" spans="1:3" x14ac:dyDescent="0.2">
      <c r="A3343" t="s">
        <v>3987</v>
      </c>
      <c r="B3343" t="s">
        <v>1331</v>
      </c>
      <c r="C3343" t="s">
        <v>2633</v>
      </c>
    </row>
    <row r="3344" spans="1:3" x14ac:dyDescent="0.2">
      <c r="A3344" t="s">
        <v>3988</v>
      </c>
      <c r="B3344" t="s">
        <v>1331</v>
      </c>
      <c r="C3344" t="s">
        <v>2633</v>
      </c>
    </row>
    <row r="3345" spans="1:3" x14ac:dyDescent="0.2">
      <c r="A3345" t="s">
        <v>3989</v>
      </c>
      <c r="B3345" t="s">
        <v>1331</v>
      </c>
      <c r="C3345" t="s">
        <v>2633</v>
      </c>
    </row>
    <row r="3346" spans="1:3" x14ac:dyDescent="0.2">
      <c r="A3346" t="s">
        <v>3990</v>
      </c>
      <c r="B3346" t="s">
        <v>1331</v>
      </c>
      <c r="C3346" t="s">
        <v>2633</v>
      </c>
    </row>
    <row r="3347" spans="1:3" x14ac:dyDescent="0.2">
      <c r="A3347" t="s">
        <v>3991</v>
      </c>
      <c r="B3347" t="s">
        <v>1331</v>
      </c>
      <c r="C3347" t="s">
        <v>2633</v>
      </c>
    </row>
    <row r="3348" spans="1:3" x14ac:dyDescent="0.2">
      <c r="A3348" t="s">
        <v>3992</v>
      </c>
      <c r="B3348" t="s">
        <v>1331</v>
      </c>
      <c r="C3348" t="s">
        <v>2633</v>
      </c>
    </row>
    <row r="3349" spans="1:3" x14ac:dyDescent="0.2">
      <c r="A3349" t="s">
        <v>3993</v>
      </c>
      <c r="B3349" t="s">
        <v>1331</v>
      </c>
      <c r="C3349" t="s">
        <v>2633</v>
      </c>
    </row>
    <row r="3350" spans="1:3" x14ac:dyDescent="0.2">
      <c r="A3350" t="s">
        <v>3994</v>
      </c>
      <c r="B3350" t="s">
        <v>1331</v>
      </c>
      <c r="C3350" t="s">
        <v>2633</v>
      </c>
    </row>
    <row r="3351" spans="1:3" x14ac:dyDescent="0.2">
      <c r="A3351" t="s">
        <v>3995</v>
      </c>
      <c r="B3351" t="s">
        <v>1331</v>
      </c>
      <c r="C3351" t="s">
        <v>2633</v>
      </c>
    </row>
    <row r="3352" spans="1:3" x14ac:dyDescent="0.2">
      <c r="A3352" t="s">
        <v>3996</v>
      </c>
      <c r="B3352" t="s">
        <v>1331</v>
      </c>
      <c r="C3352" t="s">
        <v>2633</v>
      </c>
    </row>
    <row r="3353" spans="1:3" x14ac:dyDescent="0.2">
      <c r="A3353" t="s">
        <v>3997</v>
      </c>
      <c r="B3353" t="s">
        <v>1331</v>
      </c>
      <c r="C3353" t="s">
        <v>2633</v>
      </c>
    </row>
    <row r="3354" spans="1:3" x14ac:dyDescent="0.2">
      <c r="A3354" t="s">
        <v>3998</v>
      </c>
      <c r="B3354" t="s">
        <v>1331</v>
      </c>
      <c r="C3354" t="s">
        <v>2633</v>
      </c>
    </row>
    <row r="3355" spans="1:3" x14ac:dyDescent="0.2">
      <c r="A3355" t="s">
        <v>3999</v>
      </c>
      <c r="B3355" t="s">
        <v>1331</v>
      </c>
      <c r="C3355" t="s">
        <v>2633</v>
      </c>
    </row>
    <row r="3356" spans="1:3" x14ac:dyDescent="0.2">
      <c r="A3356" t="s">
        <v>4000</v>
      </c>
      <c r="B3356" t="s">
        <v>1331</v>
      </c>
      <c r="C3356" t="s">
        <v>2633</v>
      </c>
    </row>
    <row r="3357" spans="1:3" x14ac:dyDescent="0.2">
      <c r="A3357" t="s">
        <v>4001</v>
      </c>
      <c r="B3357" t="s">
        <v>1331</v>
      </c>
      <c r="C3357" t="s">
        <v>2633</v>
      </c>
    </row>
    <row r="3358" spans="1:3" x14ac:dyDescent="0.2">
      <c r="A3358" t="s">
        <v>4002</v>
      </c>
      <c r="B3358" t="s">
        <v>1331</v>
      </c>
      <c r="C3358" t="s">
        <v>2633</v>
      </c>
    </row>
    <row r="3359" spans="1:3" x14ac:dyDescent="0.2">
      <c r="A3359" t="s">
        <v>4003</v>
      </c>
      <c r="B3359" t="s">
        <v>1331</v>
      </c>
      <c r="C3359" t="s">
        <v>2633</v>
      </c>
    </row>
    <row r="3360" spans="1:3" x14ac:dyDescent="0.2">
      <c r="A3360" t="s">
        <v>2632</v>
      </c>
      <c r="B3360" t="s">
        <v>1331</v>
      </c>
      <c r="C3360" t="s">
        <v>2633</v>
      </c>
    </row>
    <row r="3361" spans="1:3" x14ac:dyDescent="0.2">
      <c r="A3361" t="s">
        <v>2634</v>
      </c>
      <c r="B3361" t="s">
        <v>1331</v>
      </c>
      <c r="C3361" t="s">
        <v>2633</v>
      </c>
    </row>
    <row r="3362" spans="1:3" x14ac:dyDescent="0.2">
      <c r="A3362" t="s">
        <v>5646</v>
      </c>
      <c r="B3362" t="s">
        <v>1331</v>
      </c>
      <c r="C3362" t="s">
        <v>2633</v>
      </c>
    </row>
    <row r="3363" spans="1:3" x14ac:dyDescent="0.2">
      <c r="A3363" t="s">
        <v>2635</v>
      </c>
      <c r="B3363" t="s">
        <v>1331</v>
      </c>
      <c r="C3363" t="s">
        <v>2633</v>
      </c>
    </row>
    <row r="3364" spans="1:3" x14ac:dyDescent="0.2">
      <c r="A3364" t="s">
        <v>2636</v>
      </c>
      <c r="B3364" t="s">
        <v>1331</v>
      </c>
      <c r="C3364" t="s">
        <v>2633</v>
      </c>
    </row>
    <row r="3365" spans="1:3" x14ac:dyDescent="0.2">
      <c r="A3365" t="s">
        <v>2637</v>
      </c>
      <c r="B3365" t="s">
        <v>1331</v>
      </c>
      <c r="C3365" t="s">
        <v>2633</v>
      </c>
    </row>
    <row r="3366" spans="1:3" x14ac:dyDescent="0.2">
      <c r="A3366" t="s">
        <v>2638</v>
      </c>
      <c r="B3366" t="s">
        <v>1331</v>
      </c>
      <c r="C3366" t="s">
        <v>2633</v>
      </c>
    </row>
    <row r="3367" spans="1:3" x14ac:dyDescent="0.2">
      <c r="A3367" t="s">
        <v>2639</v>
      </c>
      <c r="B3367" t="s">
        <v>1331</v>
      </c>
      <c r="C3367" t="s">
        <v>2633</v>
      </c>
    </row>
    <row r="3368" spans="1:3" x14ac:dyDescent="0.2">
      <c r="A3368" t="s">
        <v>2640</v>
      </c>
      <c r="B3368" t="s">
        <v>1331</v>
      </c>
      <c r="C3368" t="s">
        <v>2633</v>
      </c>
    </row>
    <row r="3369" spans="1:3" x14ac:dyDescent="0.2">
      <c r="A3369" t="s">
        <v>5739</v>
      </c>
      <c r="B3369" t="s">
        <v>1331</v>
      </c>
      <c r="C3369" t="s">
        <v>2633</v>
      </c>
    </row>
    <row r="3370" spans="1:3" x14ac:dyDescent="0.2">
      <c r="A3370" t="s">
        <v>5647</v>
      </c>
      <c r="B3370" t="s">
        <v>1331</v>
      </c>
      <c r="C3370" t="s">
        <v>2633</v>
      </c>
    </row>
    <row r="3371" spans="1:3" x14ac:dyDescent="0.2">
      <c r="A3371" t="s">
        <v>2641</v>
      </c>
      <c r="B3371" t="s">
        <v>1331</v>
      </c>
      <c r="C3371" t="s">
        <v>2633</v>
      </c>
    </row>
    <row r="3372" spans="1:3" x14ac:dyDescent="0.2">
      <c r="A3372" t="s">
        <v>5740</v>
      </c>
      <c r="B3372" t="s">
        <v>1331</v>
      </c>
      <c r="C3372" t="s">
        <v>2633</v>
      </c>
    </row>
    <row r="3373" spans="1:3" x14ac:dyDescent="0.2">
      <c r="A3373" t="s">
        <v>5001</v>
      </c>
      <c r="B3373" t="s">
        <v>1331</v>
      </c>
      <c r="C3373" t="s">
        <v>2633</v>
      </c>
    </row>
    <row r="3374" spans="1:3" x14ac:dyDescent="0.2">
      <c r="A3374" t="s">
        <v>2642</v>
      </c>
      <c r="B3374" t="s">
        <v>1331</v>
      </c>
      <c r="C3374" t="s">
        <v>2633</v>
      </c>
    </row>
    <row r="3375" spans="1:3" x14ac:dyDescent="0.2">
      <c r="A3375" t="s">
        <v>2643</v>
      </c>
      <c r="B3375" t="s">
        <v>1331</v>
      </c>
      <c r="C3375" t="s">
        <v>2633</v>
      </c>
    </row>
    <row r="3376" spans="1:3" x14ac:dyDescent="0.2">
      <c r="A3376" t="s">
        <v>5115</v>
      </c>
      <c r="B3376" t="s">
        <v>1331</v>
      </c>
      <c r="C3376" t="s">
        <v>2633</v>
      </c>
    </row>
    <row r="3377" spans="1:3" x14ac:dyDescent="0.2">
      <c r="A3377" t="s">
        <v>2644</v>
      </c>
      <c r="B3377" t="s">
        <v>1331</v>
      </c>
      <c r="C3377" t="s">
        <v>2633</v>
      </c>
    </row>
    <row r="3378" spans="1:3" x14ac:dyDescent="0.2">
      <c r="A3378" t="s">
        <v>2645</v>
      </c>
      <c r="B3378" t="s">
        <v>1331</v>
      </c>
      <c r="C3378" t="s">
        <v>2633</v>
      </c>
    </row>
    <row r="3379" spans="1:3" x14ac:dyDescent="0.2">
      <c r="A3379" t="s">
        <v>2646</v>
      </c>
      <c r="B3379" t="s">
        <v>1331</v>
      </c>
      <c r="C3379" t="s">
        <v>2633</v>
      </c>
    </row>
    <row r="3380" spans="1:3" x14ac:dyDescent="0.2">
      <c r="A3380" t="s">
        <v>6771</v>
      </c>
      <c r="B3380" t="s">
        <v>1331</v>
      </c>
      <c r="C3380" t="s">
        <v>2633</v>
      </c>
    </row>
    <row r="3381" spans="1:3" x14ac:dyDescent="0.2">
      <c r="A3381" t="s">
        <v>2647</v>
      </c>
      <c r="B3381" t="s">
        <v>1331</v>
      </c>
      <c r="C3381" t="s">
        <v>2633</v>
      </c>
    </row>
    <row r="3382" spans="1:3" x14ac:dyDescent="0.2">
      <c r="A3382" t="s">
        <v>2648</v>
      </c>
      <c r="B3382" t="s">
        <v>1331</v>
      </c>
      <c r="C3382" t="s">
        <v>2633</v>
      </c>
    </row>
    <row r="3383" spans="1:3" x14ac:dyDescent="0.2">
      <c r="A3383" t="s">
        <v>5741</v>
      </c>
      <c r="B3383" t="s">
        <v>1331</v>
      </c>
      <c r="C3383" t="s">
        <v>2633</v>
      </c>
    </row>
    <row r="3384" spans="1:3" x14ac:dyDescent="0.2">
      <c r="A3384" t="s">
        <v>2649</v>
      </c>
      <c r="B3384" t="s">
        <v>1331</v>
      </c>
      <c r="C3384" t="s">
        <v>2633</v>
      </c>
    </row>
    <row r="3385" spans="1:3" x14ac:dyDescent="0.2">
      <c r="A3385" t="s">
        <v>2650</v>
      </c>
      <c r="B3385" t="s">
        <v>1331</v>
      </c>
      <c r="C3385" t="s">
        <v>2633</v>
      </c>
    </row>
    <row r="3386" spans="1:3" x14ac:dyDescent="0.2">
      <c r="A3386" t="s">
        <v>4722</v>
      </c>
      <c r="B3386" t="s">
        <v>1331</v>
      </c>
      <c r="C3386" t="s">
        <v>2633</v>
      </c>
    </row>
    <row r="3387" spans="1:3" x14ac:dyDescent="0.2">
      <c r="A3387" t="s">
        <v>2651</v>
      </c>
      <c r="B3387" t="s">
        <v>1331</v>
      </c>
      <c r="C3387" t="s">
        <v>2633</v>
      </c>
    </row>
    <row r="3388" spans="1:3" x14ac:dyDescent="0.2">
      <c r="A3388" t="s">
        <v>5261</v>
      </c>
      <c r="B3388" t="s">
        <v>1331</v>
      </c>
      <c r="C3388" t="s">
        <v>2633</v>
      </c>
    </row>
    <row r="3389" spans="1:3" x14ac:dyDescent="0.2">
      <c r="A3389" t="s">
        <v>2652</v>
      </c>
      <c r="B3389" t="s">
        <v>1331</v>
      </c>
      <c r="C3389" t="s">
        <v>2633</v>
      </c>
    </row>
    <row r="3390" spans="1:3" x14ac:dyDescent="0.2">
      <c r="A3390" t="s">
        <v>2653</v>
      </c>
      <c r="B3390" t="s">
        <v>1331</v>
      </c>
      <c r="C3390" t="s">
        <v>2633</v>
      </c>
    </row>
    <row r="3391" spans="1:3" x14ac:dyDescent="0.2">
      <c r="A3391" t="s">
        <v>2654</v>
      </c>
      <c r="B3391" t="s">
        <v>1331</v>
      </c>
      <c r="C3391" t="s">
        <v>2633</v>
      </c>
    </row>
    <row r="3392" spans="1:3" x14ac:dyDescent="0.2">
      <c r="A3392" t="s">
        <v>2655</v>
      </c>
      <c r="B3392" t="s">
        <v>1331</v>
      </c>
      <c r="C3392" t="s">
        <v>2633</v>
      </c>
    </row>
    <row r="3393" spans="1:3" x14ac:dyDescent="0.2">
      <c r="A3393" t="s">
        <v>5116</v>
      </c>
      <c r="B3393" t="s">
        <v>1331</v>
      </c>
      <c r="C3393" t="s">
        <v>2633</v>
      </c>
    </row>
    <row r="3394" spans="1:3" x14ac:dyDescent="0.2">
      <c r="A3394" t="s">
        <v>2656</v>
      </c>
      <c r="B3394" t="s">
        <v>1331</v>
      </c>
      <c r="C3394" t="s">
        <v>2633</v>
      </c>
    </row>
    <row r="3395" spans="1:3" x14ac:dyDescent="0.2">
      <c r="A3395" t="s">
        <v>2657</v>
      </c>
      <c r="B3395" t="s">
        <v>1331</v>
      </c>
      <c r="C3395" t="s">
        <v>2633</v>
      </c>
    </row>
    <row r="3396" spans="1:3" x14ac:dyDescent="0.2">
      <c r="A3396" t="s">
        <v>2658</v>
      </c>
      <c r="B3396" t="s">
        <v>1331</v>
      </c>
      <c r="C3396" t="s">
        <v>2633</v>
      </c>
    </row>
    <row r="3397" spans="1:3" x14ac:dyDescent="0.2">
      <c r="A3397" t="s">
        <v>5742</v>
      </c>
      <c r="B3397" t="s">
        <v>1331</v>
      </c>
      <c r="C3397" t="s">
        <v>2633</v>
      </c>
    </row>
    <row r="3398" spans="1:3" x14ac:dyDescent="0.2">
      <c r="A3398" t="s">
        <v>2659</v>
      </c>
      <c r="B3398" t="s">
        <v>1331</v>
      </c>
      <c r="C3398" t="s">
        <v>2633</v>
      </c>
    </row>
    <row r="3399" spans="1:3" x14ac:dyDescent="0.2">
      <c r="A3399" t="s">
        <v>2660</v>
      </c>
      <c r="B3399" t="s">
        <v>1331</v>
      </c>
      <c r="C3399" t="s">
        <v>2633</v>
      </c>
    </row>
    <row r="3400" spans="1:3" x14ac:dyDescent="0.2">
      <c r="A3400" t="s">
        <v>2661</v>
      </c>
      <c r="B3400" t="s">
        <v>1331</v>
      </c>
      <c r="C3400" t="s">
        <v>2633</v>
      </c>
    </row>
    <row r="3401" spans="1:3" x14ac:dyDescent="0.2">
      <c r="A3401" t="s">
        <v>2662</v>
      </c>
      <c r="B3401" t="s">
        <v>1331</v>
      </c>
      <c r="C3401" t="s">
        <v>2633</v>
      </c>
    </row>
    <row r="3402" spans="1:3" x14ac:dyDescent="0.2">
      <c r="A3402" t="s">
        <v>2663</v>
      </c>
      <c r="B3402" t="s">
        <v>1331</v>
      </c>
      <c r="C3402" t="s">
        <v>2633</v>
      </c>
    </row>
    <row r="3403" spans="1:3" x14ac:dyDescent="0.2">
      <c r="A3403" t="s">
        <v>2664</v>
      </c>
      <c r="B3403" t="s">
        <v>1331</v>
      </c>
      <c r="C3403" t="s">
        <v>2633</v>
      </c>
    </row>
    <row r="3404" spans="1:3" x14ac:dyDescent="0.2">
      <c r="A3404" t="s">
        <v>2665</v>
      </c>
      <c r="B3404" t="s">
        <v>1331</v>
      </c>
      <c r="C3404" t="s">
        <v>2633</v>
      </c>
    </row>
    <row r="3405" spans="1:3" x14ac:dyDescent="0.2">
      <c r="A3405" t="s">
        <v>2666</v>
      </c>
      <c r="B3405" t="s">
        <v>1331</v>
      </c>
      <c r="C3405" t="s">
        <v>2633</v>
      </c>
    </row>
    <row r="3406" spans="1:3" x14ac:dyDescent="0.2">
      <c r="A3406" t="s">
        <v>2667</v>
      </c>
      <c r="B3406" t="s">
        <v>1331</v>
      </c>
      <c r="C3406" t="s">
        <v>2633</v>
      </c>
    </row>
    <row r="3407" spans="1:3" x14ac:dyDescent="0.2">
      <c r="A3407" t="s">
        <v>4004</v>
      </c>
      <c r="B3407" t="s">
        <v>1331</v>
      </c>
      <c r="C3407" t="s">
        <v>1332</v>
      </c>
    </row>
    <row r="3408" spans="1:3" x14ac:dyDescent="0.2">
      <c r="A3408" t="s">
        <v>4005</v>
      </c>
      <c r="B3408" t="s">
        <v>1331</v>
      </c>
      <c r="C3408" t="s">
        <v>1332</v>
      </c>
    </row>
    <row r="3409" spans="1:3" x14ac:dyDescent="0.2">
      <c r="A3409" t="s">
        <v>4006</v>
      </c>
      <c r="B3409" t="s">
        <v>1331</v>
      </c>
      <c r="C3409" t="s">
        <v>1332</v>
      </c>
    </row>
    <row r="3410" spans="1:3" x14ac:dyDescent="0.2">
      <c r="A3410" t="s">
        <v>4007</v>
      </c>
      <c r="B3410" t="s">
        <v>1331</v>
      </c>
      <c r="C3410" t="s">
        <v>1332</v>
      </c>
    </row>
    <row r="3411" spans="1:3" x14ac:dyDescent="0.2">
      <c r="A3411" t="s">
        <v>4008</v>
      </c>
      <c r="B3411" t="s">
        <v>1331</v>
      </c>
      <c r="C3411" t="s">
        <v>1332</v>
      </c>
    </row>
    <row r="3412" spans="1:3" x14ac:dyDescent="0.2">
      <c r="A3412" t="s">
        <v>4009</v>
      </c>
      <c r="B3412" t="s">
        <v>1331</v>
      </c>
      <c r="C3412" t="s">
        <v>1332</v>
      </c>
    </row>
    <row r="3413" spans="1:3" x14ac:dyDescent="0.2">
      <c r="A3413" t="s">
        <v>4010</v>
      </c>
      <c r="B3413" t="s">
        <v>1331</v>
      </c>
      <c r="C3413" t="s">
        <v>1332</v>
      </c>
    </row>
    <row r="3414" spans="1:3" x14ac:dyDescent="0.2">
      <c r="A3414" t="s">
        <v>4011</v>
      </c>
      <c r="B3414" t="s">
        <v>1331</v>
      </c>
      <c r="C3414" t="s">
        <v>1332</v>
      </c>
    </row>
    <row r="3415" spans="1:3" x14ac:dyDescent="0.2">
      <c r="A3415" t="s">
        <v>4012</v>
      </c>
      <c r="B3415" t="s">
        <v>1331</v>
      </c>
      <c r="C3415" t="s">
        <v>1332</v>
      </c>
    </row>
    <row r="3416" spans="1:3" x14ac:dyDescent="0.2">
      <c r="A3416" t="s">
        <v>4013</v>
      </c>
      <c r="B3416" t="s">
        <v>1331</v>
      </c>
      <c r="C3416" t="s">
        <v>1332</v>
      </c>
    </row>
    <row r="3417" spans="1:3" x14ac:dyDescent="0.2">
      <c r="A3417" t="s">
        <v>4014</v>
      </c>
      <c r="B3417" t="s">
        <v>1331</v>
      </c>
      <c r="C3417" t="s">
        <v>1332</v>
      </c>
    </row>
    <row r="3418" spans="1:3" x14ac:dyDescent="0.2">
      <c r="A3418" t="s">
        <v>4015</v>
      </c>
      <c r="B3418" t="s">
        <v>1331</v>
      </c>
      <c r="C3418" t="s">
        <v>1332</v>
      </c>
    </row>
    <row r="3419" spans="1:3" x14ac:dyDescent="0.2">
      <c r="A3419" t="s">
        <v>4016</v>
      </c>
      <c r="B3419" t="s">
        <v>1331</v>
      </c>
      <c r="C3419" t="s">
        <v>1332</v>
      </c>
    </row>
    <row r="3420" spans="1:3" x14ac:dyDescent="0.2">
      <c r="A3420" t="s">
        <v>4017</v>
      </c>
      <c r="B3420" t="s">
        <v>1331</v>
      </c>
      <c r="C3420" t="s">
        <v>1332</v>
      </c>
    </row>
    <row r="3421" spans="1:3" x14ac:dyDescent="0.2">
      <c r="A3421" t="s">
        <v>4018</v>
      </c>
      <c r="B3421" t="s">
        <v>1331</v>
      </c>
      <c r="C3421" t="s">
        <v>1332</v>
      </c>
    </row>
    <row r="3422" spans="1:3" x14ac:dyDescent="0.2">
      <c r="A3422" t="s">
        <v>4019</v>
      </c>
      <c r="B3422" t="s">
        <v>1331</v>
      </c>
      <c r="C3422" t="s">
        <v>1332</v>
      </c>
    </row>
    <row r="3423" spans="1:3" x14ac:dyDescent="0.2">
      <c r="A3423" t="s">
        <v>4020</v>
      </c>
      <c r="B3423" t="s">
        <v>1331</v>
      </c>
      <c r="C3423" t="s">
        <v>1332</v>
      </c>
    </row>
    <row r="3424" spans="1:3" x14ac:dyDescent="0.2">
      <c r="A3424" t="s">
        <v>4021</v>
      </c>
      <c r="B3424" t="s">
        <v>1331</v>
      </c>
      <c r="C3424" t="s">
        <v>1332</v>
      </c>
    </row>
    <row r="3425" spans="1:3" x14ac:dyDescent="0.2">
      <c r="A3425" t="s">
        <v>4022</v>
      </c>
      <c r="B3425" t="s">
        <v>1331</v>
      </c>
      <c r="C3425" t="s">
        <v>1332</v>
      </c>
    </row>
    <row r="3426" spans="1:3" x14ac:dyDescent="0.2">
      <c r="A3426" t="s">
        <v>4023</v>
      </c>
      <c r="B3426" t="s">
        <v>1331</v>
      </c>
      <c r="C3426" t="s">
        <v>1332</v>
      </c>
    </row>
    <row r="3427" spans="1:3" x14ac:dyDescent="0.2">
      <c r="A3427" t="s">
        <v>4024</v>
      </c>
      <c r="B3427" t="s">
        <v>1331</v>
      </c>
      <c r="C3427" t="s">
        <v>1332</v>
      </c>
    </row>
    <row r="3428" spans="1:3" x14ac:dyDescent="0.2">
      <c r="A3428" t="s">
        <v>4025</v>
      </c>
      <c r="B3428" t="s">
        <v>1331</v>
      </c>
      <c r="C3428" t="s">
        <v>1332</v>
      </c>
    </row>
    <row r="3429" spans="1:3" x14ac:dyDescent="0.2">
      <c r="A3429" t="s">
        <v>1330</v>
      </c>
      <c r="B3429" t="s">
        <v>1331</v>
      </c>
      <c r="C3429" t="s">
        <v>1332</v>
      </c>
    </row>
    <row r="3430" spans="1:3" x14ac:dyDescent="0.2">
      <c r="A3430" t="s">
        <v>2668</v>
      </c>
      <c r="B3430" t="s">
        <v>1331</v>
      </c>
      <c r="C3430" t="s">
        <v>2669</v>
      </c>
    </row>
    <row r="3431" spans="1:3" x14ac:dyDescent="0.2">
      <c r="A3431" t="s">
        <v>2670</v>
      </c>
      <c r="B3431" t="s">
        <v>1331</v>
      </c>
      <c r="C3431" t="s">
        <v>2669</v>
      </c>
    </row>
    <row r="3432" spans="1:3" x14ac:dyDescent="0.2">
      <c r="A3432" t="s">
        <v>2671</v>
      </c>
      <c r="B3432" t="s">
        <v>1331</v>
      </c>
      <c r="C3432" t="s">
        <v>2669</v>
      </c>
    </row>
    <row r="3433" spans="1:3" x14ac:dyDescent="0.2">
      <c r="A3433" t="s">
        <v>2672</v>
      </c>
      <c r="B3433" t="s">
        <v>1331</v>
      </c>
      <c r="C3433" t="s">
        <v>2669</v>
      </c>
    </row>
    <row r="3434" spans="1:3" x14ac:dyDescent="0.2">
      <c r="A3434" t="s">
        <v>2673</v>
      </c>
      <c r="B3434" t="s">
        <v>1331</v>
      </c>
      <c r="C3434" t="s">
        <v>2669</v>
      </c>
    </row>
    <row r="3435" spans="1:3" x14ac:dyDescent="0.2">
      <c r="A3435" t="s">
        <v>2674</v>
      </c>
      <c r="B3435" t="s">
        <v>1331</v>
      </c>
      <c r="C3435" t="s">
        <v>2669</v>
      </c>
    </row>
    <row r="3436" spans="1:3" x14ac:dyDescent="0.2">
      <c r="A3436" t="s">
        <v>2675</v>
      </c>
      <c r="B3436" t="s">
        <v>1331</v>
      </c>
      <c r="C3436" t="s">
        <v>2669</v>
      </c>
    </row>
    <row r="3437" spans="1:3" x14ac:dyDescent="0.2">
      <c r="A3437" t="s">
        <v>4596</v>
      </c>
      <c r="B3437" t="s">
        <v>1331</v>
      </c>
      <c r="C3437" t="s">
        <v>2669</v>
      </c>
    </row>
    <row r="3438" spans="1:3" x14ac:dyDescent="0.2">
      <c r="A3438" t="s">
        <v>2676</v>
      </c>
      <c r="B3438" t="s">
        <v>1331</v>
      </c>
      <c r="C3438" t="s">
        <v>2669</v>
      </c>
    </row>
    <row r="3439" spans="1:3" x14ac:dyDescent="0.2">
      <c r="A3439" t="s">
        <v>2677</v>
      </c>
      <c r="B3439" t="s">
        <v>1331</v>
      </c>
      <c r="C3439" t="s">
        <v>2669</v>
      </c>
    </row>
    <row r="3440" spans="1:3" x14ac:dyDescent="0.2">
      <c r="A3440" t="s">
        <v>2678</v>
      </c>
      <c r="B3440" t="s">
        <v>1331</v>
      </c>
      <c r="C3440" t="s">
        <v>2669</v>
      </c>
    </row>
    <row r="3441" spans="1:3" x14ac:dyDescent="0.2">
      <c r="A3441" t="s">
        <v>2679</v>
      </c>
      <c r="B3441" t="s">
        <v>1331</v>
      </c>
      <c r="C3441" t="s">
        <v>2669</v>
      </c>
    </row>
    <row r="3442" spans="1:3" x14ac:dyDescent="0.2">
      <c r="A3442" t="s">
        <v>2680</v>
      </c>
      <c r="B3442" t="s">
        <v>1331</v>
      </c>
      <c r="C3442" t="s">
        <v>2669</v>
      </c>
    </row>
    <row r="3443" spans="1:3" x14ac:dyDescent="0.2">
      <c r="A3443" t="s">
        <v>2681</v>
      </c>
      <c r="B3443" t="s">
        <v>1331</v>
      </c>
      <c r="C3443" t="s">
        <v>2669</v>
      </c>
    </row>
    <row r="3444" spans="1:3" x14ac:dyDescent="0.2">
      <c r="A3444" t="s">
        <v>2682</v>
      </c>
      <c r="B3444" t="s">
        <v>1331</v>
      </c>
      <c r="C3444" t="s">
        <v>2669</v>
      </c>
    </row>
    <row r="3445" spans="1:3" x14ac:dyDescent="0.2">
      <c r="A3445" t="s">
        <v>2683</v>
      </c>
      <c r="B3445" t="s">
        <v>1331</v>
      </c>
      <c r="C3445" t="s">
        <v>2669</v>
      </c>
    </row>
    <row r="3446" spans="1:3" x14ac:dyDescent="0.2">
      <c r="A3446" t="s">
        <v>2684</v>
      </c>
      <c r="B3446" t="s">
        <v>1331</v>
      </c>
      <c r="C3446" t="s">
        <v>2669</v>
      </c>
    </row>
    <row r="3447" spans="1:3" x14ac:dyDescent="0.2">
      <c r="A3447" t="s">
        <v>2685</v>
      </c>
      <c r="B3447" t="s">
        <v>1331</v>
      </c>
      <c r="C3447" t="s">
        <v>2669</v>
      </c>
    </row>
    <row r="3448" spans="1:3" x14ac:dyDescent="0.2">
      <c r="A3448" t="s">
        <v>2686</v>
      </c>
      <c r="B3448" t="s">
        <v>1331</v>
      </c>
      <c r="C3448" t="s">
        <v>2669</v>
      </c>
    </row>
    <row r="3449" spans="1:3" x14ac:dyDescent="0.2">
      <c r="A3449" t="s">
        <v>2687</v>
      </c>
      <c r="B3449" t="s">
        <v>1331</v>
      </c>
      <c r="C3449" t="s">
        <v>2669</v>
      </c>
    </row>
    <row r="3450" spans="1:3" x14ac:dyDescent="0.2">
      <c r="A3450" t="s">
        <v>2688</v>
      </c>
      <c r="B3450" t="s">
        <v>1331</v>
      </c>
      <c r="C3450" t="s">
        <v>2669</v>
      </c>
    </row>
    <row r="3451" spans="1:3" x14ac:dyDescent="0.2">
      <c r="A3451" t="s">
        <v>2689</v>
      </c>
      <c r="B3451" t="s">
        <v>1331</v>
      </c>
      <c r="C3451" t="s">
        <v>2669</v>
      </c>
    </row>
    <row r="3452" spans="1:3" x14ac:dyDescent="0.2">
      <c r="A3452" t="s">
        <v>2690</v>
      </c>
      <c r="B3452" t="s">
        <v>1331</v>
      </c>
      <c r="C3452" t="s">
        <v>2669</v>
      </c>
    </row>
    <row r="3453" spans="1:3" x14ac:dyDescent="0.2">
      <c r="A3453" t="s">
        <v>2691</v>
      </c>
      <c r="B3453" t="s">
        <v>1331</v>
      </c>
      <c r="C3453" t="s">
        <v>2669</v>
      </c>
    </row>
    <row r="3454" spans="1:3" x14ac:dyDescent="0.2">
      <c r="A3454" t="s">
        <v>2692</v>
      </c>
      <c r="B3454" t="s">
        <v>1331</v>
      </c>
      <c r="C3454" t="s">
        <v>2669</v>
      </c>
    </row>
    <row r="3455" spans="1:3" x14ac:dyDescent="0.2">
      <c r="A3455" t="s">
        <v>2693</v>
      </c>
      <c r="B3455" t="s">
        <v>1331</v>
      </c>
      <c r="C3455" t="s">
        <v>2669</v>
      </c>
    </row>
    <row r="3456" spans="1:3" x14ac:dyDescent="0.2">
      <c r="A3456" t="s">
        <v>2694</v>
      </c>
      <c r="B3456" t="s">
        <v>1331</v>
      </c>
      <c r="C3456" t="s">
        <v>2669</v>
      </c>
    </row>
    <row r="3457" spans="1:3" x14ac:dyDescent="0.2">
      <c r="A3457" t="s">
        <v>2695</v>
      </c>
      <c r="B3457" t="s">
        <v>1331</v>
      </c>
      <c r="C3457" t="s">
        <v>2669</v>
      </c>
    </row>
    <row r="3458" spans="1:3" x14ac:dyDescent="0.2">
      <c r="A3458" t="s">
        <v>2696</v>
      </c>
      <c r="B3458" t="s">
        <v>1331</v>
      </c>
      <c r="C3458" t="s">
        <v>2669</v>
      </c>
    </row>
    <row r="3459" spans="1:3" x14ac:dyDescent="0.2">
      <c r="A3459" t="s">
        <v>2697</v>
      </c>
      <c r="B3459" t="s">
        <v>1331</v>
      </c>
      <c r="C3459" t="s">
        <v>2669</v>
      </c>
    </row>
    <row r="3460" spans="1:3" x14ac:dyDescent="0.2">
      <c r="A3460" t="s">
        <v>2698</v>
      </c>
      <c r="B3460" t="s">
        <v>1331</v>
      </c>
      <c r="C3460" t="s">
        <v>2669</v>
      </c>
    </row>
    <row r="3461" spans="1:3" x14ac:dyDescent="0.2">
      <c r="A3461" t="s">
        <v>2699</v>
      </c>
      <c r="B3461" t="s">
        <v>1331</v>
      </c>
      <c r="C3461" t="s">
        <v>2669</v>
      </c>
    </row>
    <row r="3462" spans="1:3" x14ac:dyDescent="0.2">
      <c r="A3462" t="s">
        <v>2700</v>
      </c>
      <c r="B3462" t="s">
        <v>1331</v>
      </c>
      <c r="C3462" t="s">
        <v>2669</v>
      </c>
    </row>
    <row r="3463" spans="1:3" x14ac:dyDescent="0.2">
      <c r="A3463" t="s">
        <v>2701</v>
      </c>
      <c r="B3463" t="s">
        <v>1331</v>
      </c>
      <c r="C3463" t="s">
        <v>2669</v>
      </c>
    </row>
    <row r="3464" spans="1:3" x14ac:dyDescent="0.2">
      <c r="A3464" t="s">
        <v>2702</v>
      </c>
      <c r="B3464" t="s">
        <v>1331</v>
      </c>
      <c r="C3464" t="s">
        <v>2669</v>
      </c>
    </row>
    <row r="3465" spans="1:3" x14ac:dyDescent="0.2">
      <c r="A3465" t="s">
        <v>2703</v>
      </c>
      <c r="B3465" t="s">
        <v>1331</v>
      </c>
      <c r="C3465" t="s">
        <v>2669</v>
      </c>
    </row>
    <row r="3466" spans="1:3" x14ac:dyDescent="0.2">
      <c r="A3466" t="s">
        <v>2704</v>
      </c>
      <c r="B3466" t="s">
        <v>1331</v>
      </c>
      <c r="C3466" t="s">
        <v>2669</v>
      </c>
    </row>
    <row r="3467" spans="1:3" x14ac:dyDescent="0.2">
      <c r="A3467" t="s">
        <v>2705</v>
      </c>
      <c r="B3467" t="s">
        <v>1331</v>
      </c>
      <c r="C3467" t="s">
        <v>2669</v>
      </c>
    </row>
    <row r="3468" spans="1:3" x14ac:dyDescent="0.2">
      <c r="A3468" t="s">
        <v>2706</v>
      </c>
      <c r="B3468" t="s">
        <v>1331</v>
      </c>
      <c r="C3468" t="s">
        <v>2669</v>
      </c>
    </row>
    <row r="3469" spans="1:3" x14ac:dyDescent="0.2">
      <c r="A3469" t="s">
        <v>2707</v>
      </c>
      <c r="B3469" t="s">
        <v>1331</v>
      </c>
      <c r="C3469" t="s">
        <v>2669</v>
      </c>
    </row>
    <row r="3470" spans="1:3" x14ac:dyDescent="0.2">
      <c r="A3470" t="s">
        <v>2708</v>
      </c>
      <c r="B3470" t="s">
        <v>1331</v>
      </c>
      <c r="C3470" t="s">
        <v>2669</v>
      </c>
    </row>
    <row r="3471" spans="1:3" x14ac:dyDescent="0.2">
      <c r="A3471" t="s">
        <v>5959</v>
      </c>
      <c r="B3471" t="s">
        <v>1331</v>
      </c>
      <c r="C3471" t="s">
        <v>2633</v>
      </c>
    </row>
    <row r="3472" spans="1:3" x14ac:dyDescent="0.2">
      <c r="A3472" t="s">
        <v>6772</v>
      </c>
      <c r="B3472" t="s">
        <v>1331</v>
      </c>
      <c r="C3472" t="s">
        <v>2633</v>
      </c>
    </row>
    <row r="3473" spans="1:3" x14ac:dyDescent="0.2">
      <c r="A3473" t="s">
        <v>4026</v>
      </c>
      <c r="B3473" t="s">
        <v>1331</v>
      </c>
      <c r="C3473" t="s">
        <v>2710</v>
      </c>
    </row>
    <row r="3474" spans="1:3" x14ac:dyDescent="0.2">
      <c r="A3474" t="s">
        <v>2709</v>
      </c>
      <c r="B3474" t="s">
        <v>1331</v>
      </c>
      <c r="C3474" t="s">
        <v>2710</v>
      </c>
    </row>
    <row r="3475" spans="1:3" x14ac:dyDescent="0.2">
      <c r="A3475" t="s">
        <v>4027</v>
      </c>
      <c r="B3475" t="s">
        <v>1331</v>
      </c>
      <c r="C3475" t="s">
        <v>2710</v>
      </c>
    </row>
    <row r="3476" spans="1:3" x14ac:dyDescent="0.2">
      <c r="A3476" t="s">
        <v>2711</v>
      </c>
      <c r="B3476" t="s">
        <v>1331</v>
      </c>
      <c r="C3476" t="s">
        <v>2710</v>
      </c>
    </row>
    <row r="3477" spans="1:3" x14ac:dyDescent="0.2">
      <c r="A3477" t="s">
        <v>6773</v>
      </c>
      <c r="B3477" t="s">
        <v>1331</v>
      </c>
      <c r="C3477" t="s">
        <v>2633</v>
      </c>
    </row>
    <row r="3478" spans="1:3" x14ac:dyDescent="0.2">
      <c r="A3478" t="s">
        <v>6774</v>
      </c>
      <c r="B3478" t="s">
        <v>1331</v>
      </c>
      <c r="C3478" t="s">
        <v>2633</v>
      </c>
    </row>
    <row r="3479" spans="1:3" x14ac:dyDescent="0.2">
      <c r="A3479" t="s">
        <v>6775</v>
      </c>
      <c r="B3479" t="s">
        <v>1331</v>
      </c>
      <c r="C3479" t="s">
        <v>2633</v>
      </c>
    </row>
    <row r="3480" spans="1:3" x14ac:dyDescent="0.2">
      <c r="A3480" t="s">
        <v>6776</v>
      </c>
      <c r="B3480" t="s">
        <v>1331</v>
      </c>
      <c r="C3480" t="s">
        <v>2633</v>
      </c>
    </row>
    <row r="3481" spans="1:3" x14ac:dyDescent="0.2">
      <c r="A3481" t="s">
        <v>6777</v>
      </c>
      <c r="B3481" t="s">
        <v>1331</v>
      </c>
      <c r="C3481" t="s">
        <v>2633</v>
      </c>
    </row>
    <row r="3482" spans="1:3" x14ac:dyDescent="0.2">
      <c r="A3482" t="s">
        <v>6778</v>
      </c>
      <c r="B3482" t="s">
        <v>1331</v>
      </c>
      <c r="C3482" t="s">
        <v>2633</v>
      </c>
    </row>
    <row r="3483" spans="1:3" x14ac:dyDescent="0.2">
      <c r="A3483" t="s">
        <v>5960</v>
      </c>
      <c r="B3483" t="s">
        <v>1331</v>
      </c>
      <c r="C3483" t="s">
        <v>2633</v>
      </c>
    </row>
    <row r="3484" spans="1:3" x14ac:dyDescent="0.2">
      <c r="A3484" t="s">
        <v>6779</v>
      </c>
      <c r="B3484" t="s">
        <v>1331</v>
      </c>
      <c r="C3484" t="s">
        <v>2633</v>
      </c>
    </row>
    <row r="3485" spans="1:3" x14ac:dyDescent="0.2">
      <c r="A3485" t="s">
        <v>6780</v>
      </c>
      <c r="B3485" t="s">
        <v>1331</v>
      </c>
      <c r="C3485" t="s">
        <v>2633</v>
      </c>
    </row>
    <row r="3486" spans="1:3" x14ac:dyDescent="0.2">
      <c r="A3486" t="s">
        <v>5961</v>
      </c>
      <c r="B3486" t="s">
        <v>1331</v>
      </c>
      <c r="C3486" t="s">
        <v>2633</v>
      </c>
    </row>
    <row r="3487" spans="1:3" x14ac:dyDescent="0.2">
      <c r="A3487" t="s">
        <v>6781</v>
      </c>
      <c r="B3487" t="s">
        <v>1331</v>
      </c>
      <c r="C3487" t="s">
        <v>2633</v>
      </c>
    </row>
    <row r="3488" spans="1:3" x14ac:dyDescent="0.2">
      <c r="A3488" t="s">
        <v>5962</v>
      </c>
      <c r="B3488" t="s">
        <v>1331</v>
      </c>
      <c r="C3488" t="s">
        <v>2633</v>
      </c>
    </row>
    <row r="3489" spans="1:3" x14ac:dyDescent="0.2">
      <c r="A3489" t="s">
        <v>6782</v>
      </c>
      <c r="B3489" t="s">
        <v>1331</v>
      </c>
      <c r="C3489" t="s">
        <v>2633</v>
      </c>
    </row>
    <row r="3490" spans="1:3" x14ac:dyDescent="0.2">
      <c r="A3490" t="s">
        <v>4028</v>
      </c>
      <c r="B3490" t="s">
        <v>1331</v>
      </c>
      <c r="C3490" t="s">
        <v>2713</v>
      </c>
    </row>
    <row r="3491" spans="1:3" x14ac:dyDescent="0.2">
      <c r="A3491" t="s">
        <v>4029</v>
      </c>
      <c r="B3491" t="s">
        <v>1331</v>
      </c>
      <c r="C3491" t="s">
        <v>2713</v>
      </c>
    </row>
    <row r="3492" spans="1:3" x14ac:dyDescent="0.2">
      <c r="A3492" t="s">
        <v>4030</v>
      </c>
      <c r="B3492" t="s">
        <v>1331</v>
      </c>
      <c r="C3492" t="s">
        <v>2713</v>
      </c>
    </row>
    <row r="3493" spans="1:3" x14ac:dyDescent="0.2">
      <c r="A3493" t="s">
        <v>4031</v>
      </c>
      <c r="B3493" t="s">
        <v>1331</v>
      </c>
      <c r="C3493" t="s">
        <v>2713</v>
      </c>
    </row>
    <row r="3494" spans="1:3" x14ac:dyDescent="0.2">
      <c r="A3494" t="s">
        <v>4032</v>
      </c>
      <c r="B3494" t="s">
        <v>1331</v>
      </c>
      <c r="C3494" t="s">
        <v>2713</v>
      </c>
    </row>
    <row r="3495" spans="1:3" x14ac:dyDescent="0.2">
      <c r="A3495" t="s">
        <v>4033</v>
      </c>
      <c r="B3495" t="s">
        <v>1331</v>
      </c>
      <c r="C3495" t="s">
        <v>2713</v>
      </c>
    </row>
    <row r="3496" spans="1:3" x14ac:dyDescent="0.2">
      <c r="A3496" t="s">
        <v>4034</v>
      </c>
      <c r="B3496" t="s">
        <v>1331</v>
      </c>
      <c r="C3496" t="s">
        <v>2713</v>
      </c>
    </row>
    <row r="3497" spans="1:3" x14ac:dyDescent="0.2">
      <c r="A3497" t="s">
        <v>4035</v>
      </c>
      <c r="B3497" t="s">
        <v>1331</v>
      </c>
      <c r="C3497" t="s">
        <v>2713</v>
      </c>
    </row>
    <row r="3498" spans="1:3" x14ac:dyDescent="0.2">
      <c r="A3498" t="s">
        <v>4036</v>
      </c>
      <c r="B3498" t="s">
        <v>1331</v>
      </c>
      <c r="C3498" t="s">
        <v>2713</v>
      </c>
    </row>
    <row r="3499" spans="1:3" x14ac:dyDescent="0.2">
      <c r="A3499" t="s">
        <v>4037</v>
      </c>
      <c r="B3499" t="s">
        <v>1331</v>
      </c>
      <c r="C3499" t="s">
        <v>2713</v>
      </c>
    </row>
    <row r="3500" spans="1:3" x14ac:dyDescent="0.2">
      <c r="A3500" t="s">
        <v>4038</v>
      </c>
      <c r="B3500" t="s">
        <v>1331</v>
      </c>
      <c r="C3500" t="s">
        <v>2713</v>
      </c>
    </row>
    <row r="3501" spans="1:3" x14ac:dyDescent="0.2">
      <c r="A3501" t="s">
        <v>4039</v>
      </c>
      <c r="B3501" t="s">
        <v>1331</v>
      </c>
      <c r="C3501" t="s">
        <v>2713</v>
      </c>
    </row>
    <row r="3502" spans="1:3" x14ac:dyDescent="0.2">
      <c r="A3502" t="s">
        <v>4040</v>
      </c>
      <c r="B3502" t="s">
        <v>1331</v>
      </c>
      <c r="C3502" t="s">
        <v>2713</v>
      </c>
    </row>
    <row r="3503" spans="1:3" x14ac:dyDescent="0.2">
      <c r="A3503" t="s">
        <v>4041</v>
      </c>
      <c r="B3503" t="s">
        <v>1331</v>
      </c>
      <c r="C3503" t="s">
        <v>2713</v>
      </c>
    </row>
    <row r="3504" spans="1:3" x14ac:dyDescent="0.2">
      <c r="A3504" t="s">
        <v>4042</v>
      </c>
      <c r="B3504" t="s">
        <v>1331</v>
      </c>
      <c r="C3504" t="s">
        <v>2713</v>
      </c>
    </row>
    <row r="3505" spans="1:3" x14ac:dyDescent="0.2">
      <c r="A3505" t="s">
        <v>4043</v>
      </c>
      <c r="B3505" t="s">
        <v>1331</v>
      </c>
      <c r="C3505" t="s">
        <v>2713</v>
      </c>
    </row>
    <row r="3506" spans="1:3" x14ac:dyDescent="0.2">
      <c r="A3506" t="s">
        <v>4044</v>
      </c>
      <c r="B3506" t="s">
        <v>1331</v>
      </c>
      <c r="C3506" t="s">
        <v>2713</v>
      </c>
    </row>
    <row r="3507" spans="1:3" x14ac:dyDescent="0.2">
      <c r="A3507" t="s">
        <v>4045</v>
      </c>
      <c r="B3507" t="s">
        <v>1331</v>
      </c>
      <c r="C3507" t="s">
        <v>2713</v>
      </c>
    </row>
    <row r="3508" spans="1:3" x14ac:dyDescent="0.2">
      <c r="A3508" t="s">
        <v>4046</v>
      </c>
      <c r="B3508" t="s">
        <v>1331</v>
      </c>
      <c r="C3508" t="s">
        <v>2713</v>
      </c>
    </row>
    <row r="3509" spans="1:3" x14ac:dyDescent="0.2">
      <c r="A3509" t="s">
        <v>4047</v>
      </c>
      <c r="B3509" t="s">
        <v>1331</v>
      </c>
      <c r="C3509" t="s">
        <v>2713</v>
      </c>
    </row>
    <row r="3510" spans="1:3" x14ac:dyDescent="0.2">
      <c r="A3510" t="s">
        <v>4048</v>
      </c>
      <c r="B3510" t="s">
        <v>1331</v>
      </c>
      <c r="C3510" t="s">
        <v>2713</v>
      </c>
    </row>
    <row r="3511" spans="1:3" x14ac:dyDescent="0.2">
      <c r="A3511" t="s">
        <v>4049</v>
      </c>
      <c r="B3511" t="s">
        <v>1331</v>
      </c>
      <c r="C3511" t="s">
        <v>2713</v>
      </c>
    </row>
    <row r="3512" spans="1:3" x14ac:dyDescent="0.2">
      <c r="A3512" t="s">
        <v>4050</v>
      </c>
      <c r="B3512" t="s">
        <v>1331</v>
      </c>
      <c r="C3512" t="s">
        <v>2713</v>
      </c>
    </row>
    <row r="3513" spans="1:3" x14ac:dyDescent="0.2">
      <c r="A3513" t="s">
        <v>4051</v>
      </c>
      <c r="B3513" t="s">
        <v>1331</v>
      </c>
      <c r="C3513" t="s">
        <v>2713</v>
      </c>
    </row>
    <row r="3514" spans="1:3" x14ac:dyDescent="0.2">
      <c r="A3514" t="s">
        <v>4052</v>
      </c>
      <c r="B3514" t="s">
        <v>1331</v>
      </c>
      <c r="C3514" t="s">
        <v>2713</v>
      </c>
    </row>
    <row r="3515" spans="1:3" x14ac:dyDescent="0.2">
      <c r="A3515" t="s">
        <v>4053</v>
      </c>
      <c r="B3515" t="s">
        <v>1331</v>
      </c>
      <c r="C3515" t="s">
        <v>2713</v>
      </c>
    </row>
    <row r="3516" spans="1:3" x14ac:dyDescent="0.2">
      <c r="A3516" t="s">
        <v>4054</v>
      </c>
      <c r="B3516" t="s">
        <v>1331</v>
      </c>
      <c r="C3516" t="s">
        <v>2713</v>
      </c>
    </row>
    <row r="3517" spans="1:3" x14ac:dyDescent="0.2">
      <c r="A3517" t="s">
        <v>4055</v>
      </c>
      <c r="B3517" t="s">
        <v>1331</v>
      </c>
      <c r="C3517" t="s">
        <v>2713</v>
      </c>
    </row>
    <row r="3518" spans="1:3" x14ac:dyDescent="0.2">
      <c r="A3518" t="s">
        <v>2712</v>
      </c>
      <c r="B3518" t="s">
        <v>1331</v>
      </c>
      <c r="C3518" t="s">
        <v>2713</v>
      </c>
    </row>
    <row r="3519" spans="1:3" x14ac:dyDescent="0.2">
      <c r="A3519" t="s">
        <v>2714</v>
      </c>
      <c r="B3519" t="s">
        <v>1331</v>
      </c>
      <c r="C3519" t="s">
        <v>2713</v>
      </c>
    </row>
    <row r="3520" spans="1:3" x14ac:dyDescent="0.2">
      <c r="A3520" t="s">
        <v>2715</v>
      </c>
      <c r="B3520" t="s">
        <v>1331</v>
      </c>
      <c r="C3520" t="s">
        <v>2713</v>
      </c>
    </row>
    <row r="3521" spans="1:3" x14ac:dyDescent="0.2">
      <c r="A3521" t="s">
        <v>2716</v>
      </c>
      <c r="B3521" t="s">
        <v>1331</v>
      </c>
      <c r="C3521" t="s">
        <v>2713</v>
      </c>
    </row>
    <row r="3522" spans="1:3" x14ac:dyDescent="0.2">
      <c r="A3522" t="s">
        <v>2717</v>
      </c>
      <c r="B3522" t="s">
        <v>1331</v>
      </c>
      <c r="C3522" t="s">
        <v>2713</v>
      </c>
    </row>
    <row r="3523" spans="1:3" x14ac:dyDescent="0.2">
      <c r="A3523" t="s">
        <v>5117</v>
      </c>
      <c r="B3523" t="s">
        <v>1331</v>
      </c>
      <c r="C3523" t="s">
        <v>2713</v>
      </c>
    </row>
    <row r="3524" spans="1:3" x14ac:dyDescent="0.2">
      <c r="A3524" t="s">
        <v>2718</v>
      </c>
      <c r="B3524" t="s">
        <v>1331</v>
      </c>
      <c r="C3524" t="s">
        <v>2713</v>
      </c>
    </row>
    <row r="3525" spans="1:3" x14ac:dyDescent="0.2">
      <c r="A3525" t="s">
        <v>5253</v>
      </c>
      <c r="B3525" t="s">
        <v>1331</v>
      </c>
      <c r="C3525" t="s">
        <v>2713</v>
      </c>
    </row>
    <row r="3526" spans="1:3" x14ac:dyDescent="0.2">
      <c r="A3526" t="s">
        <v>5118</v>
      </c>
      <c r="B3526" t="s">
        <v>1331</v>
      </c>
      <c r="C3526" t="s">
        <v>2713</v>
      </c>
    </row>
    <row r="3527" spans="1:3" x14ac:dyDescent="0.2">
      <c r="A3527" t="s">
        <v>2719</v>
      </c>
      <c r="B3527" t="s">
        <v>1331</v>
      </c>
      <c r="C3527" t="s">
        <v>2713</v>
      </c>
    </row>
    <row r="3528" spans="1:3" x14ac:dyDescent="0.2">
      <c r="A3528" t="s">
        <v>5545</v>
      </c>
      <c r="B3528" t="s">
        <v>1331</v>
      </c>
      <c r="C3528" t="s">
        <v>2713</v>
      </c>
    </row>
    <row r="3529" spans="1:3" x14ac:dyDescent="0.2">
      <c r="A3529" t="s">
        <v>4597</v>
      </c>
      <c r="B3529" t="s">
        <v>1331</v>
      </c>
      <c r="C3529" t="s">
        <v>2713</v>
      </c>
    </row>
    <row r="3530" spans="1:3" x14ac:dyDescent="0.2">
      <c r="A3530" t="s">
        <v>2720</v>
      </c>
      <c r="B3530" t="s">
        <v>1331</v>
      </c>
      <c r="C3530" t="s">
        <v>2713</v>
      </c>
    </row>
    <row r="3531" spans="1:3" x14ac:dyDescent="0.2">
      <c r="A3531" t="s">
        <v>2721</v>
      </c>
      <c r="B3531" t="s">
        <v>1331</v>
      </c>
      <c r="C3531" t="s">
        <v>2713</v>
      </c>
    </row>
    <row r="3532" spans="1:3" x14ac:dyDescent="0.2">
      <c r="A3532" t="s">
        <v>2722</v>
      </c>
      <c r="B3532" t="s">
        <v>1331</v>
      </c>
      <c r="C3532" t="s">
        <v>2713</v>
      </c>
    </row>
    <row r="3533" spans="1:3" x14ac:dyDescent="0.2">
      <c r="A3533" t="s">
        <v>4723</v>
      </c>
      <c r="B3533" t="s">
        <v>1331</v>
      </c>
      <c r="C3533" t="s">
        <v>2713</v>
      </c>
    </row>
    <row r="3534" spans="1:3" x14ac:dyDescent="0.2">
      <c r="A3534" t="s">
        <v>5526</v>
      </c>
      <c r="B3534" t="s">
        <v>1331</v>
      </c>
      <c r="C3534" t="s">
        <v>2713</v>
      </c>
    </row>
    <row r="3535" spans="1:3" x14ac:dyDescent="0.2">
      <c r="A3535" t="s">
        <v>6783</v>
      </c>
      <c r="B3535" t="s">
        <v>1331</v>
      </c>
      <c r="C3535" t="s">
        <v>2713</v>
      </c>
    </row>
    <row r="3536" spans="1:3" x14ac:dyDescent="0.2">
      <c r="A3536" t="s">
        <v>5743</v>
      </c>
      <c r="B3536" t="s">
        <v>1331</v>
      </c>
      <c r="C3536" t="s">
        <v>2713</v>
      </c>
    </row>
    <row r="3537" spans="1:3" x14ac:dyDescent="0.2">
      <c r="A3537" t="s">
        <v>2723</v>
      </c>
      <c r="B3537" t="s">
        <v>1331</v>
      </c>
      <c r="C3537" t="s">
        <v>2713</v>
      </c>
    </row>
    <row r="3538" spans="1:3" x14ac:dyDescent="0.2">
      <c r="A3538" t="s">
        <v>2724</v>
      </c>
      <c r="B3538" t="s">
        <v>1331</v>
      </c>
      <c r="C3538" t="s">
        <v>2713</v>
      </c>
    </row>
    <row r="3539" spans="1:3" x14ac:dyDescent="0.2">
      <c r="A3539" t="s">
        <v>4598</v>
      </c>
      <c r="B3539" t="s">
        <v>1331</v>
      </c>
      <c r="C3539" t="s">
        <v>2713</v>
      </c>
    </row>
    <row r="3540" spans="1:3" x14ac:dyDescent="0.2">
      <c r="A3540" t="s">
        <v>4724</v>
      </c>
      <c r="B3540" t="s">
        <v>1331</v>
      </c>
      <c r="C3540" t="s">
        <v>2713</v>
      </c>
    </row>
    <row r="3541" spans="1:3" x14ac:dyDescent="0.2">
      <c r="A3541" t="s">
        <v>2725</v>
      </c>
      <c r="B3541" t="s">
        <v>1331</v>
      </c>
      <c r="C3541" t="s">
        <v>2713</v>
      </c>
    </row>
    <row r="3542" spans="1:3" x14ac:dyDescent="0.2">
      <c r="A3542" t="s">
        <v>2726</v>
      </c>
      <c r="B3542" t="s">
        <v>1331</v>
      </c>
      <c r="C3542" t="s">
        <v>2713</v>
      </c>
    </row>
    <row r="3543" spans="1:3" x14ac:dyDescent="0.2">
      <c r="A3543" t="s">
        <v>2727</v>
      </c>
      <c r="B3543" t="s">
        <v>1331</v>
      </c>
      <c r="C3543" t="s">
        <v>2713</v>
      </c>
    </row>
    <row r="3544" spans="1:3" x14ac:dyDescent="0.2">
      <c r="A3544" t="s">
        <v>2728</v>
      </c>
      <c r="B3544" t="s">
        <v>1331</v>
      </c>
      <c r="C3544" t="s">
        <v>2713</v>
      </c>
    </row>
    <row r="3545" spans="1:3" x14ac:dyDescent="0.2">
      <c r="A3545" t="s">
        <v>2729</v>
      </c>
      <c r="B3545" t="s">
        <v>1331</v>
      </c>
      <c r="C3545" t="s">
        <v>2713</v>
      </c>
    </row>
    <row r="3546" spans="1:3" x14ac:dyDescent="0.2">
      <c r="A3546" t="s">
        <v>6784</v>
      </c>
      <c r="B3546" t="s">
        <v>1331</v>
      </c>
      <c r="C3546" t="s">
        <v>2713</v>
      </c>
    </row>
    <row r="3547" spans="1:3" x14ac:dyDescent="0.2">
      <c r="A3547" t="s">
        <v>2730</v>
      </c>
      <c r="B3547" t="s">
        <v>1331</v>
      </c>
      <c r="C3547" t="s">
        <v>2713</v>
      </c>
    </row>
    <row r="3548" spans="1:3" x14ac:dyDescent="0.2">
      <c r="A3548" t="s">
        <v>2731</v>
      </c>
      <c r="B3548" t="s">
        <v>1331</v>
      </c>
      <c r="C3548" t="s">
        <v>2713</v>
      </c>
    </row>
    <row r="3549" spans="1:3" x14ac:dyDescent="0.2">
      <c r="A3549" t="s">
        <v>6785</v>
      </c>
      <c r="B3549" t="s">
        <v>1331</v>
      </c>
      <c r="C3549" t="s">
        <v>2713</v>
      </c>
    </row>
    <row r="3550" spans="1:3" x14ac:dyDescent="0.2">
      <c r="A3550" t="s">
        <v>2732</v>
      </c>
      <c r="B3550" t="s">
        <v>1331</v>
      </c>
      <c r="C3550" t="s">
        <v>2713</v>
      </c>
    </row>
    <row r="3551" spans="1:3" x14ac:dyDescent="0.2">
      <c r="A3551" t="s">
        <v>2733</v>
      </c>
      <c r="B3551" t="s">
        <v>1331</v>
      </c>
      <c r="C3551" t="s">
        <v>2713</v>
      </c>
    </row>
    <row r="3552" spans="1:3" x14ac:dyDescent="0.2">
      <c r="A3552" t="s">
        <v>2734</v>
      </c>
      <c r="B3552" t="s">
        <v>1331</v>
      </c>
      <c r="C3552" t="s">
        <v>2713</v>
      </c>
    </row>
    <row r="3553" spans="1:3" x14ac:dyDescent="0.2">
      <c r="A3553" t="s">
        <v>2735</v>
      </c>
      <c r="B3553" t="s">
        <v>1331</v>
      </c>
      <c r="C3553" t="s">
        <v>2713</v>
      </c>
    </row>
    <row r="3554" spans="1:3" x14ac:dyDescent="0.2">
      <c r="A3554" t="s">
        <v>5642</v>
      </c>
      <c r="B3554" t="s">
        <v>1331</v>
      </c>
      <c r="C3554" t="s">
        <v>2713</v>
      </c>
    </row>
    <row r="3555" spans="1:3" x14ac:dyDescent="0.2">
      <c r="A3555" t="s">
        <v>4986</v>
      </c>
      <c r="B3555" t="s">
        <v>1331</v>
      </c>
      <c r="C3555" t="s">
        <v>2713</v>
      </c>
    </row>
    <row r="3556" spans="1:3" x14ac:dyDescent="0.2">
      <c r="A3556" t="s">
        <v>2736</v>
      </c>
      <c r="B3556" t="s">
        <v>1331</v>
      </c>
      <c r="C3556" t="s">
        <v>2713</v>
      </c>
    </row>
    <row r="3557" spans="1:3" x14ac:dyDescent="0.2">
      <c r="A3557" t="s">
        <v>5643</v>
      </c>
      <c r="B3557" t="s">
        <v>1331</v>
      </c>
      <c r="C3557" t="s">
        <v>2713</v>
      </c>
    </row>
    <row r="3558" spans="1:3" x14ac:dyDescent="0.2">
      <c r="A3558" t="s">
        <v>2737</v>
      </c>
      <c r="B3558" t="s">
        <v>1331</v>
      </c>
      <c r="C3558" t="s">
        <v>2713</v>
      </c>
    </row>
    <row r="3559" spans="1:3" x14ac:dyDescent="0.2">
      <c r="A3559" t="s">
        <v>4987</v>
      </c>
      <c r="B3559" t="s">
        <v>1331</v>
      </c>
      <c r="C3559" t="s">
        <v>2713</v>
      </c>
    </row>
    <row r="3560" spans="1:3" x14ac:dyDescent="0.2">
      <c r="A3560" t="s">
        <v>5744</v>
      </c>
      <c r="B3560" t="s">
        <v>1331</v>
      </c>
      <c r="C3560" t="s">
        <v>2713</v>
      </c>
    </row>
    <row r="3561" spans="1:3" x14ac:dyDescent="0.2">
      <c r="A3561" t="s">
        <v>2738</v>
      </c>
      <c r="B3561" t="s">
        <v>1331</v>
      </c>
      <c r="C3561" t="s">
        <v>2713</v>
      </c>
    </row>
    <row r="3562" spans="1:3" x14ac:dyDescent="0.2">
      <c r="A3562" t="s">
        <v>5254</v>
      </c>
      <c r="B3562" t="s">
        <v>1331</v>
      </c>
      <c r="C3562" t="s">
        <v>2713</v>
      </c>
    </row>
    <row r="3563" spans="1:3" x14ac:dyDescent="0.2">
      <c r="A3563" t="s">
        <v>4988</v>
      </c>
      <c r="B3563" t="s">
        <v>1331</v>
      </c>
      <c r="C3563" t="s">
        <v>2713</v>
      </c>
    </row>
    <row r="3564" spans="1:3" x14ac:dyDescent="0.2">
      <c r="A3564" t="s">
        <v>5255</v>
      </c>
      <c r="B3564" t="s">
        <v>1331</v>
      </c>
      <c r="C3564" t="s">
        <v>2713</v>
      </c>
    </row>
    <row r="3565" spans="1:3" x14ac:dyDescent="0.2">
      <c r="A3565" t="s">
        <v>2739</v>
      </c>
      <c r="B3565" t="s">
        <v>1331</v>
      </c>
      <c r="C3565" t="s">
        <v>2713</v>
      </c>
    </row>
    <row r="3566" spans="1:3" x14ac:dyDescent="0.2">
      <c r="A3566" t="s">
        <v>2740</v>
      </c>
      <c r="B3566" t="s">
        <v>1331</v>
      </c>
      <c r="C3566" t="s">
        <v>2713</v>
      </c>
    </row>
    <row r="3567" spans="1:3" x14ac:dyDescent="0.2">
      <c r="A3567" t="s">
        <v>5644</v>
      </c>
      <c r="B3567" t="s">
        <v>1331</v>
      </c>
      <c r="C3567" t="s">
        <v>2713</v>
      </c>
    </row>
    <row r="3568" spans="1:3" x14ac:dyDescent="0.2">
      <c r="A3568" t="s">
        <v>2741</v>
      </c>
      <c r="B3568" t="s">
        <v>1331</v>
      </c>
      <c r="C3568" t="s">
        <v>2713</v>
      </c>
    </row>
    <row r="3569" spans="1:3" x14ac:dyDescent="0.2">
      <c r="A3569" t="s">
        <v>5745</v>
      </c>
      <c r="B3569" t="s">
        <v>1331</v>
      </c>
      <c r="C3569" t="s">
        <v>2713</v>
      </c>
    </row>
    <row r="3570" spans="1:3" x14ac:dyDescent="0.2">
      <c r="A3570" t="s">
        <v>5527</v>
      </c>
      <c r="B3570" t="s">
        <v>1331</v>
      </c>
      <c r="C3570" t="s">
        <v>2713</v>
      </c>
    </row>
    <row r="3571" spans="1:3" x14ac:dyDescent="0.2">
      <c r="A3571" t="s">
        <v>5953</v>
      </c>
      <c r="B3571" t="s">
        <v>1331</v>
      </c>
      <c r="C3571" t="s">
        <v>2713</v>
      </c>
    </row>
    <row r="3572" spans="1:3" x14ac:dyDescent="0.2">
      <c r="A3572" t="s">
        <v>6786</v>
      </c>
      <c r="B3572" t="s">
        <v>1331</v>
      </c>
      <c r="C3572" t="s">
        <v>2713</v>
      </c>
    </row>
    <row r="3573" spans="1:3" x14ac:dyDescent="0.2">
      <c r="A3573" t="s">
        <v>2742</v>
      </c>
      <c r="B3573" t="s">
        <v>1331</v>
      </c>
      <c r="C3573" t="s">
        <v>2713</v>
      </c>
    </row>
    <row r="3574" spans="1:3" x14ac:dyDescent="0.2">
      <c r="A3574" t="s">
        <v>2743</v>
      </c>
      <c r="B3574" t="s">
        <v>1331</v>
      </c>
      <c r="C3574" t="s">
        <v>2713</v>
      </c>
    </row>
    <row r="3575" spans="1:3" x14ac:dyDescent="0.2">
      <c r="A3575" t="s">
        <v>4989</v>
      </c>
      <c r="B3575" t="s">
        <v>1331</v>
      </c>
      <c r="C3575" t="s">
        <v>2713</v>
      </c>
    </row>
    <row r="3576" spans="1:3" x14ac:dyDescent="0.2">
      <c r="A3576" t="s">
        <v>6787</v>
      </c>
      <c r="B3576" t="s">
        <v>1331</v>
      </c>
      <c r="C3576" t="s">
        <v>2713</v>
      </c>
    </row>
    <row r="3577" spans="1:3" x14ac:dyDescent="0.2">
      <c r="A3577" t="s">
        <v>5645</v>
      </c>
      <c r="B3577" t="s">
        <v>1331</v>
      </c>
      <c r="C3577" t="s">
        <v>2713</v>
      </c>
    </row>
    <row r="3578" spans="1:3" x14ac:dyDescent="0.2">
      <c r="A3578" t="s">
        <v>4056</v>
      </c>
      <c r="B3578" t="s">
        <v>1331</v>
      </c>
      <c r="C3578" t="s">
        <v>2195</v>
      </c>
    </row>
    <row r="3579" spans="1:3" x14ac:dyDescent="0.2">
      <c r="A3579" t="s">
        <v>4057</v>
      </c>
      <c r="B3579" t="s">
        <v>1331</v>
      </c>
      <c r="C3579" t="s">
        <v>2195</v>
      </c>
    </row>
    <row r="3580" spans="1:3" x14ac:dyDescent="0.2">
      <c r="A3580" t="s">
        <v>4058</v>
      </c>
      <c r="B3580" t="s">
        <v>1331</v>
      </c>
      <c r="C3580" t="s">
        <v>2195</v>
      </c>
    </row>
    <row r="3581" spans="1:3" x14ac:dyDescent="0.2">
      <c r="A3581" t="s">
        <v>4059</v>
      </c>
      <c r="B3581" t="s">
        <v>1331</v>
      </c>
      <c r="C3581" t="s">
        <v>2195</v>
      </c>
    </row>
    <row r="3582" spans="1:3" x14ac:dyDescent="0.2">
      <c r="A3582" t="s">
        <v>2194</v>
      </c>
      <c r="B3582" t="s">
        <v>1331</v>
      </c>
      <c r="C3582" t="s">
        <v>2195</v>
      </c>
    </row>
    <row r="3583" spans="1:3" x14ac:dyDescent="0.2">
      <c r="A3583" t="s">
        <v>2196</v>
      </c>
      <c r="B3583" t="s">
        <v>1331</v>
      </c>
      <c r="C3583" t="s">
        <v>2195</v>
      </c>
    </row>
    <row r="3584" spans="1:3" x14ac:dyDescent="0.2">
      <c r="A3584" t="s">
        <v>2197</v>
      </c>
      <c r="B3584" t="s">
        <v>1331</v>
      </c>
      <c r="C3584" t="s">
        <v>2195</v>
      </c>
    </row>
    <row r="3585" spans="1:3" x14ac:dyDescent="0.2">
      <c r="A3585" t="s">
        <v>2198</v>
      </c>
      <c r="B3585" t="s">
        <v>1331</v>
      </c>
      <c r="C3585" t="s">
        <v>2195</v>
      </c>
    </row>
    <row r="3586" spans="1:3" x14ac:dyDescent="0.2">
      <c r="A3586" t="s">
        <v>2199</v>
      </c>
      <c r="B3586" t="s">
        <v>1331</v>
      </c>
      <c r="C3586" t="s">
        <v>2195</v>
      </c>
    </row>
    <row r="3587" spans="1:3" x14ac:dyDescent="0.2">
      <c r="A3587" t="s">
        <v>5528</v>
      </c>
      <c r="B3587" t="s">
        <v>1331</v>
      </c>
      <c r="C3587" t="s">
        <v>2195</v>
      </c>
    </row>
    <row r="3588" spans="1:3" x14ac:dyDescent="0.2">
      <c r="A3588" t="s">
        <v>4060</v>
      </c>
      <c r="B3588" t="s">
        <v>1331</v>
      </c>
      <c r="C3588" t="s">
        <v>2203</v>
      </c>
    </row>
    <row r="3589" spans="1:3" x14ac:dyDescent="0.2">
      <c r="A3589" t="s">
        <v>4061</v>
      </c>
      <c r="B3589" t="s">
        <v>1331</v>
      </c>
      <c r="C3589" t="s">
        <v>2203</v>
      </c>
    </row>
    <row r="3590" spans="1:3" x14ac:dyDescent="0.2">
      <c r="A3590" t="s">
        <v>4062</v>
      </c>
      <c r="B3590" t="s">
        <v>1331</v>
      </c>
      <c r="C3590" t="s">
        <v>2203</v>
      </c>
    </row>
    <row r="3591" spans="1:3" x14ac:dyDescent="0.2">
      <c r="A3591" t="s">
        <v>4063</v>
      </c>
      <c r="B3591" t="s">
        <v>1331</v>
      </c>
      <c r="C3591" t="s">
        <v>2203</v>
      </c>
    </row>
    <row r="3592" spans="1:3" x14ac:dyDescent="0.2">
      <c r="A3592" t="s">
        <v>4064</v>
      </c>
      <c r="B3592" t="s">
        <v>1331</v>
      </c>
      <c r="C3592" t="s">
        <v>2203</v>
      </c>
    </row>
    <row r="3593" spans="1:3" x14ac:dyDescent="0.2">
      <c r="A3593" t="s">
        <v>4065</v>
      </c>
      <c r="B3593" t="s">
        <v>1331</v>
      </c>
      <c r="C3593" t="s">
        <v>2203</v>
      </c>
    </row>
    <row r="3594" spans="1:3" x14ac:dyDescent="0.2">
      <c r="A3594" t="s">
        <v>4066</v>
      </c>
      <c r="B3594" t="s">
        <v>1331</v>
      </c>
      <c r="C3594" t="s">
        <v>2203</v>
      </c>
    </row>
    <row r="3595" spans="1:3" x14ac:dyDescent="0.2">
      <c r="A3595" t="s">
        <v>4067</v>
      </c>
      <c r="B3595" t="s">
        <v>1331</v>
      </c>
      <c r="C3595" t="s">
        <v>2203</v>
      </c>
    </row>
    <row r="3596" spans="1:3" x14ac:dyDescent="0.2">
      <c r="A3596" t="s">
        <v>4068</v>
      </c>
      <c r="B3596" t="s">
        <v>1331</v>
      </c>
      <c r="C3596" t="s">
        <v>2203</v>
      </c>
    </row>
    <row r="3597" spans="1:3" x14ac:dyDescent="0.2">
      <c r="A3597" t="s">
        <v>4069</v>
      </c>
      <c r="B3597" t="s">
        <v>1331</v>
      </c>
      <c r="C3597" t="s">
        <v>2203</v>
      </c>
    </row>
    <row r="3598" spans="1:3" x14ac:dyDescent="0.2">
      <c r="A3598" t="s">
        <v>4070</v>
      </c>
      <c r="B3598" t="s">
        <v>1331</v>
      </c>
      <c r="C3598" t="s">
        <v>2203</v>
      </c>
    </row>
    <row r="3599" spans="1:3" x14ac:dyDescent="0.2">
      <c r="A3599" t="s">
        <v>4071</v>
      </c>
      <c r="B3599" t="s">
        <v>1331</v>
      </c>
      <c r="C3599" t="s">
        <v>2203</v>
      </c>
    </row>
    <row r="3600" spans="1:3" x14ac:dyDescent="0.2">
      <c r="A3600" t="s">
        <v>4072</v>
      </c>
      <c r="B3600" t="s">
        <v>1331</v>
      </c>
      <c r="C3600" t="s">
        <v>2203</v>
      </c>
    </row>
    <row r="3601" spans="1:3" x14ac:dyDescent="0.2">
      <c r="A3601" t="s">
        <v>4073</v>
      </c>
      <c r="B3601" t="s">
        <v>1331</v>
      </c>
      <c r="C3601" t="s">
        <v>2203</v>
      </c>
    </row>
    <row r="3602" spans="1:3" x14ac:dyDescent="0.2">
      <c r="A3602" t="s">
        <v>4074</v>
      </c>
      <c r="B3602" t="s">
        <v>1331</v>
      </c>
      <c r="C3602" t="s">
        <v>2203</v>
      </c>
    </row>
    <row r="3603" spans="1:3" x14ac:dyDescent="0.2">
      <c r="A3603" t="s">
        <v>4075</v>
      </c>
      <c r="B3603" t="s">
        <v>1331</v>
      </c>
      <c r="C3603" t="s">
        <v>2203</v>
      </c>
    </row>
    <row r="3604" spans="1:3" x14ac:dyDescent="0.2">
      <c r="A3604" t="s">
        <v>4076</v>
      </c>
      <c r="B3604" t="s">
        <v>1331</v>
      </c>
      <c r="C3604" t="s">
        <v>2203</v>
      </c>
    </row>
    <row r="3605" spans="1:3" x14ac:dyDescent="0.2">
      <c r="A3605" t="s">
        <v>4077</v>
      </c>
      <c r="B3605" t="s">
        <v>1331</v>
      </c>
      <c r="C3605" t="s">
        <v>2203</v>
      </c>
    </row>
    <row r="3606" spans="1:3" x14ac:dyDescent="0.2">
      <c r="A3606" t="s">
        <v>4078</v>
      </c>
      <c r="B3606" t="s">
        <v>1331</v>
      </c>
      <c r="C3606" t="s">
        <v>2203</v>
      </c>
    </row>
    <row r="3607" spans="1:3" x14ac:dyDescent="0.2">
      <c r="A3607" t="s">
        <v>4079</v>
      </c>
      <c r="B3607" t="s">
        <v>1331</v>
      </c>
      <c r="C3607" t="s">
        <v>2203</v>
      </c>
    </row>
    <row r="3608" spans="1:3" x14ac:dyDescent="0.2">
      <c r="A3608" t="s">
        <v>4080</v>
      </c>
      <c r="B3608" t="s">
        <v>1331</v>
      </c>
      <c r="C3608" t="s">
        <v>2203</v>
      </c>
    </row>
    <row r="3609" spans="1:3" x14ac:dyDescent="0.2">
      <c r="A3609" t="s">
        <v>4081</v>
      </c>
      <c r="B3609" t="s">
        <v>1331</v>
      </c>
      <c r="C3609" t="s">
        <v>2203</v>
      </c>
    </row>
    <row r="3610" spans="1:3" x14ac:dyDescent="0.2">
      <c r="A3610" t="s">
        <v>4082</v>
      </c>
      <c r="B3610" t="s">
        <v>1331</v>
      </c>
      <c r="C3610" t="s">
        <v>2203</v>
      </c>
    </row>
    <row r="3611" spans="1:3" x14ac:dyDescent="0.2">
      <c r="A3611" t="s">
        <v>4083</v>
      </c>
      <c r="B3611" t="s">
        <v>1331</v>
      </c>
      <c r="C3611" t="s">
        <v>2203</v>
      </c>
    </row>
    <row r="3612" spans="1:3" x14ac:dyDescent="0.2">
      <c r="A3612" t="s">
        <v>4084</v>
      </c>
      <c r="B3612" t="s">
        <v>1331</v>
      </c>
      <c r="C3612" t="s">
        <v>2203</v>
      </c>
    </row>
    <row r="3613" spans="1:3" x14ac:dyDescent="0.2">
      <c r="A3613" t="s">
        <v>4085</v>
      </c>
      <c r="B3613" t="s">
        <v>1331</v>
      </c>
      <c r="C3613" t="s">
        <v>2203</v>
      </c>
    </row>
    <row r="3614" spans="1:3" x14ac:dyDescent="0.2">
      <c r="A3614" t="s">
        <v>4086</v>
      </c>
      <c r="B3614" t="s">
        <v>1331</v>
      </c>
      <c r="C3614" t="s">
        <v>2203</v>
      </c>
    </row>
    <row r="3615" spans="1:3" x14ac:dyDescent="0.2">
      <c r="A3615" t="s">
        <v>4087</v>
      </c>
      <c r="B3615" t="s">
        <v>1331</v>
      </c>
      <c r="C3615" t="s">
        <v>2203</v>
      </c>
    </row>
    <row r="3616" spans="1:3" x14ac:dyDescent="0.2">
      <c r="A3616" t="s">
        <v>4088</v>
      </c>
      <c r="B3616" t="s">
        <v>1331</v>
      </c>
      <c r="C3616" t="s">
        <v>2203</v>
      </c>
    </row>
    <row r="3617" spans="1:3" x14ac:dyDescent="0.2">
      <c r="A3617" t="s">
        <v>4089</v>
      </c>
      <c r="B3617" t="s">
        <v>1331</v>
      </c>
      <c r="C3617" t="s">
        <v>2203</v>
      </c>
    </row>
    <row r="3618" spans="1:3" x14ac:dyDescent="0.2">
      <c r="A3618" t="s">
        <v>4090</v>
      </c>
      <c r="B3618" t="s">
        <v>1331</v>
      </c>
      <c r="C3618" t="s">
        <v>2203</v>
      </c>
    </row>
    <row r="3619" spans="1:3" x14ac:dyDescent="0.2">
      <c r="A3619" t="s">
        <v>4091</v>
      </c>
      <c r="B3619" t="s">
        <v>1331</v>
      </c>
      <c r="C3619" t="s">
        <v>2203</v>
      </c>
    </row>
    <row r="3620" spans="1:3" x14ac:dyDescent="0.2">
      <c r="A3620" t="s">
        <v>4092</v>
      </c>
      <c r="B3620" t="s">
        <v>1331</v>
      </c>
      <c r="C3620" t="s">
        <v>2203</v>
      </c>
    </row>
    <row r="3621" spans="1:3" x14ac:dyDescent="0.2">
      <c r="A3621" t="s">
        <v>4093</v>
      </c>
      <c r="B3621" t="s">
        <v>1331</v>
      </c>
      <c r="C3621" t="s">
        <v>2203</v>
      </c>
    </row>
    <row r="3622" spans="1:3" x14ac:dyDescent="0.2">
      <c r="A3622" t="s">
        <v>4094</v>
      </c>
      <c r="B3622" t="s">
        <v>1331</v>
      </c>
      <c r="C3622" t="s">
        <v>2203</v>
      </c>
    </row>
    <row r="3623" spans="1:3" x14ac:dyDescent="0.2">
      <c r="A3623" t="s">
        <v>4095</v>
      </c>
      <c r="B3623" t="s">
        <v>1331</v>
      </c>
      <c r="C3623" t="s">
        <v>2203</v>
      </c>
    </row>
    <row r="3624" spans="1:3" x14ac:dyDescent="0.2">
      <c r="A3624" t="s">
        <v>4096</v>
      </c>
      <c r="B3624" t="s">
        <v>1331</v>
      </c>
      <c r="C3624" t="s">
        <v>2203</v>
      </c>
    </row>
    <row r="3625" spans="1:3" x14ac:dyDescent="0.2">
      <c r="A3625" t="s">
        <v>4097</v>
      </c>
      <c r="B3625" t="s">
        <v>1331</v>
      </c>
      <c r="C3625" t="s">
        <v>2203</v>
      </c>
    </row>
    <row r="3626" spans="1:3" x14ac:dyDescent="0.2">
      <c r="A3626" t="s">
        <v>4098</v>
      </c>
      <c r="B3626" t="s">
        <v>1331</v>
      </c>
      <c r="C3626" t="s">
        <v>2203</v>
      </c>
    </row>
    <row r="3627" spans="1:3" x14ac:dyDescent="0.2">
      <c r="A3627" t="s">
        <v>4099</v>
      </c>
      <c r="B3627" t="s">
        <v>1331</v>
      </c>
      <c r="C3627" t="s">
        <v>2203</v>
      </c>
    </row>
    <row r="3628" spans="1:3" x14ac:dyDescent="0.2">
      <c r="A3628" t="s">
        <v>4100</v>
      </c>
      <c r="B3628" t="s">
        <v>1331</v>
      </c>
      <c r="C3628" t="s">
        <v>2203</v>
      </c>
    </row>
    <row r="3629" spans="1:3" x14ac:dyDescent="0.2">
      <c r="A3629" t="s">
        <v>4101</v>
      </c>
      <c r="B3629" t="s">
        <v>1331</v>
      </c>
      <c r="C3629" t="s">
        <v>2203</v>
      </c>
    </row>
    <row r="3630" spans="1:3" x14ac:dyDescent="0.2">
      <c r="A3630" t="s">
        <v>4102</v>
      </c>
      <c r="B3630" t="s">
        <v>1331</v>
      </c>
      <c r="C3630" t="s">
        <v>2203</v>
      </c>
    </row>
    <row r="3631" spans="1:3" x14ac:dyDescent="0.2">
      <c r="A3631" t="s">
        <v>4103</v>
      </c>
      <c r="B3631" t="s">
        <v>1331</v>
      </c>
      <c r="C3631" t="s">
        <v>2203</v>
      </c>
    </row>
    <row r="3632" spans="1:3" x14ac:dyDescent="0.2">
      <c r="A3632" t="s">
        <v>4104</v>
      </c>
      <c r="B3632" t="s">
        <v>1331</v>
      </c>
      <c r="C3632" t="s">
        <v>2203</v>
      </c>
    </row>
    <row r="3633" spans="1:3" x14ac:dyDescent="0.2">
      <c r="A3633" t="s">
        <v>4105</v>
      </c>
      <c r="B3633" t="s">
        <v>1331</v>
      </c>
      <c r="C3633" t="s">
        <v>2203</v>
      </c>
    </row>
    <row r="3634" spans="1:3" x14ac:dyDescent="0.2">
      <c r="A3634" t="s">
        <v>4106</v>
      </c>
      <c r="B3634" t="s">
        <v>1331</v>
      </c>
      <c r="C3634" t="s">
        <v>2203</v>
      </c>
    </row>
    <row r="3635" spans="1:3" x14ac:dyDescent="0.2">
      <c r="A3635" t="s">
        <v>4107</v>
      </c>
      <c r="B3635" t="s">
        <v>1331</v>
      </c>
      <c r="C3635" t="s">
        <v>2203</v>
      </c>
    </row>
    <row r="3636" spans="1:3" x14ac:dyDescent="0.2">
      <c r="A3636" t="s">
        <v>4108</v>
      </c>
      <c r="B3636" t="s">
        <v>1331</v>
      </c>
      <c r="C3636" t="s">
        <v>2203</v>
      </c>
    </row>
    <row r="3637" spans="1:3" x14ac:dyDescent="0.2">
      <c r="A3637" t="s">
        <v>4109</v>
      </c>
      <c r="B3637" t="s">
        <v>1331</v>
      </c>
      <c r="C3637" t="s">
        <v>2203</v>
      </c>
    </row>
    <row r="3638" spans="1:3" x14ac:dyDescent="0.2">
      <c r="A3638" t="s">
        <v>4110</v>
      </c>
      <c r="B3638" t="s">
        <v>1331</v>
      </c>
      <c r="C3638" t="s">
        <v>2203</v>
      </c>
    </row>
    <row r="3639" spans="1:3" x14ac:dyDescent="0.2">
      <c r="A3639" t="s">
        <v>4111</v>
      </c>
      <c r="B3639" t="s">
        <v>1331</v>
      </c>
      <c r="C3639" t="s">
        <v>2203</v>
      </c>
    </row>
    <row r="3640" spans="1:3" x14ac:dyDescent="0.2">
      <c r="A3640" t="s">
        <v>4112</v>
      </c>
      <c r="B3640" t="s">
        <v>1331</v>
      </c>
      <c r="C3640" t="s">
        <v>2203</v>
      </c>
    </row>
    <row r="3641" spans="1:3" x14ac:dyDescent="0.2">
      <c r="A3641" t="s">
        <v>4113</v>
      </c>
      <c r="B3641" t="s">
        <v>1331</v>
      </c>
      <c r="C3641" t="s">
        <v>2203</v>
      </c>
    </row>
    <row r="3642" spans="1:3" x14ac:dyDescent="0.2">
      <c r="A3642" t="s">
        <v>4114</v>
      </c>
      <c r="B3642" t="s">
        <v>1331</v>
      </c>
      <c r="C3642" t="s">
        <v>2203</v>
      </c>
    </row>
    <row r="3643" spans="1:3" x14ac:dyDescent="0.2">
      <c r="A3643" t="s">
        <v>4115</v>
      </c>
      <c r="B3643" t="s">
        <v>1331</v>
      </c>
      <c r="C3643" t="s">
        <v>2203</v>
      </c>
    </row>
    <row r="3644" spans="1:3" x14ac:dyDescent="0.2">
      <c r="A3644" t="s">
        <v>4116</v>
      </c>
      <c r="B3644" t="s">
        <v>1331</v>
      </c>
      <c r="C3644" t="s">
        <v>2203</v>
      </c>
    </row>
    <row r="3645" spans="1:3" x14ac:dyDescent="0.2">
      <c r="A3645" t="s">
        <v>4117</v>
      </c>
      <c r="B3645" t="s">
        <v>1331</v>
      </c>
      <c r="C3645" t="s">
        <v>2203</v>
      </c>
    </row>
    <row r="3646" spans="1:3" x14ac:dyDescent="0.2">
      <c r="A3646" t="s">
        <v>4118</v>
      </c>
      <c r="B3646" t="s">
        <v>1331</v>
      </c>
      <c r="C3646" t="s">
        <v>2203</v>
      </c>
    </row>
    <row r="3647" spans="1:3" x14ac:dyDescent="0.2">
      <c r="A3647" t="s">
        <v>4119</v>
      </c>
      <c r="B3647" t="s">
        <v>1331</v>
      </c>
      <c r="C3647" t="s">
        <v>2203</v>
      </c>
    </row>
    <row r="3648" spans="1:3" x14ac:dyDescent="0.2">
      <c r="A3648" t="s">
        <v>4120</v>
      </c>
      <c r="B3648" t="s">
        <v>1331</v>
      </c>
      <c r="C3648" t="s">
        <v>2203</v>
      </c>
    </row>
    <row r="3649" spans="1:3" x14ac:dyDescent="0.2">
      <c r="A3649" t="s">
        <v>4121</v>
      </c>
      <c r="B3649" t="s">
        <v>1331</v>
      </c>
      <c r="C3649" t="s">
        <v>2203</v>
      </c>
    </row>
    <row r="3650" spans="1:3" x14ac:dyDescent="0.2">
      <c r="A3650" t="s">
        <v>4122</v>
      </c>
      <c r="B3650" t="s">
        <v>1331</v>
      </c>
      <c r="C3650" t="s">
        <v>2203</v>
      </c>
    </row>
    <row r="3651" spans="1:3" x14ac:dyDescent="0.2">
      <c r="A3651" t="s">
        <v>4123</v>
      </c>
      <c r="B3651" t="s">
        <v>1331</v>
      </c>
      <c r="C3651" t="s">
        <v>2203</v>
      </c>
    </row>
    <row r="3652" spans="1:3" x14ac:dyDescent="0.2">
      <c r="A3652" t="s">
        <v>4124</v>
      </c>
      <c r="B3652" t="s">
        <v>1331</v>
      </c>
      <c r="C3652" t="s">
        <v>2203</v>
      </c>
    </row>
    <row r="3653" spans="1:3" x14ac:dyDescent="0.2">
      <c r="A3653" t="s">
        <v>4125</v>
      </c>
      <c r="B3653" t="s">
        <v>1331</v>
      </c>
      <c r="C3653" t="s">
        <v>2203</v>
      </c>
    </row>
    <row r="3654" spans="1:3" x14ac:dyDescent="0.2">
      <c r="A3654" t="s">
        <v>4126</v>
      </c>
      <c r="B3654" t="s">
        <v>1331</v>
      </c>
      <c r="C3654" t="s">
        <v>2203</v>
      </c>
    </row>
    <row r="3655" spans="1:3" x14ac:dyDescent="0.2">
      <c r="A3655" t="s">
        <v>4127</v>
      </c>
      <c r="B3655" t="s">
        <v>1331</v>
      </c>
      <c r="C3655" t="s">
        <v>2203</v>
      </c>
    </row>
    <row r="3656" spans="1:3" x14ac:dyDescent="0.2">
      <c r="A3656" t="s">
        <v>4128</v>
      </c>
      <c r="B3656" t="s">
        <v>1331</v>
      </c>
      <c r="C3656" t="s">
        <v>2203</v>
      </c>
    </row>
    <row r="3657" spans="1:3" x14ac:dyDescent="0.2">
      <c r="A3657" t="s">
        <v>4129</v>
      </c>
      <c r="B3657" t="s">
        <v>1331</v>
      </c>
      <c r="C3657" t="s">
        <v>2203</v>
      </c>
    </row>
    <row r="3658" spans="1:3" x14ac:dyDescent="0.2">
      <c r="A3658" t="s">
        <v>4130</v>
      </c>
      <c r="B3658" t="s">
        <v>1331</v>
      </c>
      <c r="C3658" t="s">
        <v>2203</v>
      </c>
    </row>
    <row r="3659" spans="1:3" x14ac:dyDescent="0.2">
      <c r="A3659" t="s">
        <v>4131</v>
      </c>
      <c r="B3659" t="s">
        <v>1331</v>
      </c>
      <c r="C3659" t="s">
        <v>2203</v>
      </c>
    </row>
    <row r="3660" spans="1:3" x14ac:dyDescent="0.2">
      <c r="A3660" t="s">
        <v>4132</v>
      </c>
      <c r="B3660" t="s">
        <v>1331</v>
      </c>
      <c r="C3660" t="s">
        <v>2203</v>
      </c>
    </row>
    <row r="3661" spans="1:3" x14ac:dyDescent="0.2">
      <c r="A3661" t="s">
        <v>4133</v>
      </c>
      <c r="B3661" t="s">
        <v>1331</v>
      </c>
      <c r="C3661" t="s">
        <v>2203</v>
      </c>
    </row>
    <row r="3662" spans="1:3" x14ac:dyDescent="0.2">
      <c r="A3662" t="s">
        <v>4134</v>
      </c>
      <c r="B3662" t="s">
        <v>1331</v>
      </c>
      <c r="C3662" t="s">
        <v>2203</v>
      </c>
    </row>
    <row r="3663" spans="1:3" x14ac:dyDescent="0.2">
      <c r="A3663" t="s">
        <v>4135</v>
      </c>
      <c r="B3663" t="s">
        <v>1331</v>
      </c>
      <c r="C3663" t="s">
        <v>2203</v>
      </c>
    </row>
    <row r="3664" spans="1:3" x14ac:dyDescent="0.2">
      <c r="A3664" t="s">
        <v>4136</v>
      </c>
      <c r="B3664" t="s">
        <v>1331</v>
      </c>
      <c r="C3664" t="s">
        <v>2203</v>
      </c>
    </row>
    <row r="3665" spans="1:3" x14ac:dyDescent="0.2">
      <c r="A3665" t="s">
        <v>4137</v>
      </c>
      <c r="B3665" t="s">
        <v>1331</v>
      </c>
      <c r="C3665" t="s">
        <v>2203</v>
      </c>
    </row>
    <row r="3666" spans="1:3" x14ac:dyDescent="0.2">
      <c r="A3666" t="s">
        <v>4138</v>
      </c>
      <c r="B3666" t="s">
        <v>1331</v>
      </c>
      <c r="C3666" t="s">
        <v>2203</v>
      </c>
    </row>
    <row r="3667" spans="1:3" x14ac:dyDescent="0.2">
      <c r="A3667" t="s">
        <v>4139</v>
      </c>
      <c r="B3667" t="s">
        <v>1331</v>
      </c>
      <c r="C3667" t="s">
        <v>2203</v>
      </c>
    </row>
    <row r="3668" spans="1:3" x14ac:dyDescent="0.2">
      <c r="A3668" t="s">
        <v>4140</v>
      </c>
      <c r="B3668" t="s">
        <v>1331</v>
      </c>
      <c r="C3668" t="s">
        <v>2203</v>
      </c>
    </row>
    <row r="3669" spans="1:3" x14ac:dyDescent="0.2">
      <c r="A3669" t="s">
        <v>4141</v>
      </c>
      <c r="B3669" t="s">
        <v>1331</v>
      </c>
      <c r="C3669" t="s">
        <v>2203</v>
      </c>
    </row>
    <row r="3670" spans="1:3" x14ac:dyDescent="0.2">
      <c r="A3670" t="s">
        <v>4142</v>
      </c>
      <c r="B3670" t="s">
        <v>1331</v>
      </c>
      <c r="C3670" t="s">
        <v>2203</v>
      </c>
    </row>
    <row r="3671" spans="1:3" x14ac:dyDescent="0.2">
      <c r="A3671" t="s">
        <v>4143</v>
      </c>
      <c r="B3671" t="s">
        <v>1331</v>
      </c>
      <c r="C3671" t="s">
        <v>2203</v>
      </c>
    </row>
    <row r="3672" spans="1:3" x14ac:dyDescent="0.2">
      <c r="A3672" t="s">
        <v>4144</v>
      </c>
      <c r="B3672" t="s">
        <v>1331</v>
      </c>
      <c r="C3672" t="s">
        <v>2203</v>
      </c>
    </row>
    <row r="3673" spans="1:3" x14ac:dyDescent="0.2">
      <c r="A3673" t="s">
        <v>4145</v>
      </c>
      <c r="B3673" t="s">
        <v>1331</v>
      </c>
      <c r="C3673" t="s">
        <v>2203</v>
      </c>
    </row>
    <row r="3674" spans="1:3" x14ac:dyDescent="0.2">
      <c r="A3674" t="s">
        <v>4146</v>
      </c>
      <c r="B3674" t="s">
        <v>1331</v>
      </c>
      <c r="C3674" t="s">
        <v>2203</v>
      </c>
    </row>
    <row r="3675" spans="1:3" x14ac:dyDescent="0.2">
      <c r="A3675" t="s">
        <v>4147</v>
      </c>
      <c r="B3675" t="s">
        <v>1331</v>
      </c>
      <c r="C3675" t="s">
        <v>2203</v>
      </c>
    </row>
    <row r="3676" spans="1:3" x14ac:dyDescent="0.2">
      <c r="A3676" t="s">
        <v>4148</v>
      </c>
      <c r="B3676" t="s">
        <v>1331</v>
      </c>
      <c r="C3676" t="s">
        <v>2203</v>
      </c>
    </row>
    <row r="3677" spans="1:3" x14ac:dyDescent="0.2">
      <c r="A3677" t="s">
        <v>4149</v>
      </c>
      <c r="B3677" t="s">
        <v>1331</v>
      </c>
      <c r="C3677" t="s">
        <v>2203</v>
      </c>
    </row>
    <row r="3678" spans="1:3" x14ac:dyDescent="0.2">
      <c r="A3678" t="s">
        <v>4150</v>
      </c>
      <c r="B3678" t="s">
        <v>1331</v>
      </c>
      <c r="C3678" t="s">
        <v>2203</v>
      </c>
    </row>
    <row r="3679" spans="1:3" x14ac:dyDescent="0.2">
      <c r="A3679" t="s">
        <v>4151</v>
      </c>
      <c r="B3679" t="s">
        <v>1331</v>
      </c>
      <c r="C3679" t="s">
        <v>2203</v>
      </c>
    </row>
    <row r="3680" spans="1:3" x14ac:dyDescent="0.2">
      <c r="A3680" t="s">
        <v>4152</v>
      </c>
      <c r="B3680" t="s">
        <v>1331</v>
      </c>
      <c r="C3680" t="s">
        <v>2203</v>
      </c>
    </row>
    <row r="3681" spans="1:3" x14ac:dyDescent="0.2">
      <c r="A3681" t="s">
        <v>4153</v>
      </c>
      <c r="B3681" t="s">
        <v>1331</v>
      </c>
      <c r="C3681" t="s">
        <v>2203</v>
      </c>
    </row>
    <row r="3682" spans="1:3" x14ac:dyDescent="0.2">
      <c r="A3682" t="s">
        <v>4154</v>
      </c>
      <c r="B3682" t="s">
        <v>1331</v>
      </c>
      <c r="C3682" t="s">
        <v>2203</v>
      </c>
    </row>
    <row r="3683" spans="1:3" x14ac:dyDescent="0.2">
      <c r="A3683" t="s">
        <v>4155</v>
      </c>
      <c r="B3683" t="s">
        <v>1331</v>
      </c>
      <c r="C3683" t="s">
        <v>2203</v>
      </c>
    </row>
    <row r="3684" spans="1:3" x14ac:dyDescent="0.2">
      <c r="A3684" t="s">
        <v>4156</v>
      </c>
      <c r="B3684" t="s">
        <v>1331</v>
      </c>
      <c r="C3684" t="s">
        <v>2203</v>
      </c>
    </row>
    <row r="3685" spans="1:3" x14ac:dyDescent="0.2">
      <c r="A3685" t="s">
        <v>4157</v>
      </c>
      <c r="B3685" t="s">
        <v>1331</v>
      </c>
      <c r="C3685" t="s">
        <v>2203</v>
      </c>
    </row>
    <row r="3686" spans="1:3" x14ac:dyDescent="0.2">
      <c r="A3686" t="s">
        <v>4158</v>
      </c>
      <c r="B3686" t="s">
        <v>1331</v>
      </c>
      <c r="C3686" t="s">
        <v>2203</v>
      </c>
    </row>
    <row r="3687" spans="1:3" x14ac:dyDescent="0.2">
      <c r="A3687" t="s">
        <v>4159</v>
      </c>
      <c r="B3687" t="s">
        <v>1331</v>
      </c>
      <c r="C3687" t="s">
        <v>2203</v>
      </c>
    </row>
    <row r="3688" spans="1:3" x14ac:dyDescent="0.2">
      <c r="A3688" t="s">
        <v>4160</v>
      </c>
      <c r="B3688" t="s">
        <v>1331</v>
      </c>
      <c r="C3688" t="s">
        <v>2203</v>
      </c>
    </row>
    <row r="3689" spans="1:3" x14ac:dyDescent="0.2">
      <c r="A3689" t="s">
        <v>4161</v>
      </c>
      <c r="B3689" t="s">
        <v>1331</v>
      </c>
      <c r="C3689" t="s">
        <v>2203</v>
      </c>
    </row>
    <row r="3690" spans="1:3" x14ac:dyDescent="0.2">
      <c r="A3690" t="s">
        <v>4162</v>
      </c>
      <c r="B3690" t="s">
        <v>1331</v>
      </c>
      <c r="C3690" t="s">
        <v>2203</v>
      </c>
    </row>
    <row r="3691" spans="1:3" x14ac:dyDescent="0.2">
      <c r="A3691" t="s">
        <v>4163</v>
      </c>
      <c r="B3691" t="s">
        <v>1331</v>
      </c>
      <c r="C3691" t="s">
        <v>2203</v>
      </c>
    </row>
    <row r="3692" spans="1:3" x14ac:dyDescent="0.2">
      <c r="A3692" t="s">
        <v>4164</v>
      </c>
      <c r="B3692" t="s">
        <v>1331</v>
      </c>
      <c r="C3692" t="s">
        <v>2203</v>
      </c>
    </row>
    <row r="3693" spans="1:3" x14ac:dyDescent="0.2">
      <c r="A3693" t="s">
        <v>4165</v>
      </c>
      <c r="B3693" t="s">
        <v>1331</v>
      </c>
      <c r="C3693" t="s">
        <v>2203</v>
      </c>
    </row>
    <row r="3694" spans="1:3" x14ac:dyDescent="0.2">
      <c r="A3694" t="s">
        <v>4166</v>
      </c>
      <c r="B3694" t="s">
        <v>1331</v>
      </c>
      <c r="C3694" t="s">
        <v>2203</v>
      </c>
    </row>
    <row r="3695" spans="1:3" x14ac:dyDescent="0.2">
      <c r="A3695" t="s">
        <v>4167</v>
      </c>
      <c r="B3695" t="s">
        <v>1331</v>
      </c>
      <c r="C3695" t="s">
        <v>2203</v>
      </c>
    </row>
    <row r="3696" spans="1:3" x14ac:dyDescent="0.2">
      <c r="A3696" t="s">
        <v>4168</v>
      </c>
      <c r="B3696" t="s">
        <v>1331</v>
      </c>
      <c r="C3696" t="s">
        <v>2203</v>
      </c>
    </row>
    <row r="3697" spans="1:3" x14ac:dyDescent="0.2">
      <c r="A3697" t="s">
        <v>4169</v>
      </c>
      <c r="B3697" t="s">
        <v>1331</v>
      </c>
      <c r="C3697" t="s">
        <v>2203</v>
      </c>
    </row>
    <row r="3698" spans="1:3" x14ac:dyDescent="0.2">
      <c r="A3698" t="s">
        <v>4170</v>
      </c>
      <c r="B3698" t="s">
        <v>1331</v>
      </c>
      <c r="C3698" t="s">
        <v>2203</v>
      </c>
    </row>
    <row r="3699" spans="1:3" x14ac:dyDescent="0.2">
      <c r="A3699" t="s">
        <v>4171</v>
      </c>
      <c r="B3699" t="s">
        <v>1331</v>
      </c>
      <c r="C3699" t="s">
        <v>2203</v>
      </c>
    </row>
    <row r="3700" spans="1:3" x14ac:dyDescent="0.2">
      <c r="A3700" t="s">
        <v>4172</v>
      </c>
      <c r="B3700" t="s">
        <v>1331</v>
      </c>
      <c r="C3700" t="s">
        <v>2203</v>
      </c>
    </row>
    <row r="3701" spans="1:3" x14ac:dyDescent="0.2">
      <c r="A3701" t="s">
        <v>4173</v>
      </c>
      <c r="B3701" t="s">
        <v>1331</v>
      </c>
      <c r="C3701" t="s">
        <v>2203</v>
      </c>
    </row>
    <row r="3702" spans="1:3" x14ac:dyDescent="0.2">
      <c r="A3702" t="s">
        <v>4174</v>
      </c>
      <c r="B3702" t="s">
        <v>1331</v>
      </c>
      <c r="C3702" t="s">
        <v>2203</v>
      </c>
    </row>
    <row r="3703" spans="1:3" x14ac:dyDescent="0.2">
      <c r="A3703" t="s">
        <v>4175</v>
      </c>
      <c r="B3703" t="s">
        <v>1331</v>
      </c>
      <c r="C3703" t="s">
        <v>2203</v>
      </c>
    </row>
    <row r="3704" spans="1:3" x14ac:dyDescent="0.2">
      <c r="A3704" t="s">
        <v>4176</v>
      </c>
      <c r="B3704" t="s">
        <v>1331</v>
      </c>
      <c r="C3704" t="s">
        <v>2203</v>
      </c>
    </row>
    <row r="3705" spans="1:3" x14ac:dyDescent="0.2">
      <c r="A3705" t="s">
        <v>4177</v>
      </c>
      <c r="B3705" t="s">
        <v>1331</v>
      </c>
      <c r="C3705" t="s">
        <v>2203</v>
      </c>
    </row>
    <row r="3706" spans="1:3" x14ac:dyDescent="0.2">
      <c r="A3706" t="s">
        <v>4178</v>
      </c>
      <c r="B3706" t="s">
        <v>1331</v>
      </c>
      <c r="C3706" t="s">
        <v>2203</v>
      </c>
    </row>
    <row r="3707" spans="1:3" x14ac:dyDescent="0.2">
      <c r="A3707" t="s">
        <v>4179</v>
      </c>
      <c r="B3707" t="s">
        <v>1331</v>
      </c>
      <c r="C3707" t="s">
        <v>2203</v>
      </c>
    </row>
    <row r="3708" spans="1:3" x14ac:dyDescent="0.2">
      <c r="A3708" t="s">
        <v>4180</v>
      </c>
      <c r="B3708" t="s">
        <v>1331</v>
      </c>
      <c r="C3708" t="s">
        <v>2203</v>
      </c>
    </row>
    <row r="3709" spans="1:3" x14ac:dyDescent="0.2">
      <c r="A3709" t="s">
        <v>4181</v>
      </c>
      <c r="B3709" t="s">
        <v>1331</v>
      </c>
      <c r="C3709" t="s">
        <v>2203</v>
      </c>
    </row>
    <row r="3710" spans="1:3" x14ac:dyDescent="0.2">
      <c r="A3710" t="s">
        <v>4182</v>
      </c>
      <c r="B3710" t="s">
        <v>1331</v>
      </c>
      <c r="C3710" t="s">
        <v>2203</v>
      </c>
    </row>
    <row r="3711" spans="1:3" x14ac:dyDescent="0.2">
      <c r="A3711" t="s">
        <v>4183</v>
      </c>
      <c r="B3711" t="s">
        <v>1331</v>
      </c>
      <c r="C3711" t="s">
        <v>2203</v>
      </c>
    </row>
    <row r="3712" spans="1:3" x14ac:dyDescent="0.2">
      <c r="A3712" t="s">
        <v>4184</v>
      </c>
      <c r="B3712" t="s">
        <v>1331</v>
      </c>
      <c r="C3712" t="s">
        <v>2203</v>
      </c>
    </row>
    <row r="3713" spans="1:3" x14ac:dyDescent="0.2">
      <c r="A3713" t="s">
        <v>4185</v>
      </c>
      <c r="B3713" t="s">
        <v>1331</v>
      </c>
      <c r="C3713" t="s">
        <v>2203</v>
      </c>
    </row>
    <row r="3714" spans="1:3" x14ac:dyDescent="0.2">
      <c r="A3714" t="s">
        <v>4186</v>
      </c>
      <c r="B3714" t="s">
        <v>1331</v>
      </c>
      <c r="C3714" t="s">
        <v>2203</v>
      </c>
    </row>
    <row r="3715" spans="1:3" x14ac:dyDescent="0.2">
      <c r="A3715" t="s">
        <v>4187</v>
      </c>
      <c r="B3715" t="s">
        <v>1331</v>
      </c>
      <c r="C3715" t="s">
        <v>2203</v>
      </c>
    </row>
    <row r="3716" spans="1:3" x14ac:dyDescent="0.2">
      <c r="A3716" t="s">
        <v>4188</v>
      </c>
      <c r="B3716" t="s">
        <v>1331</v>
      </c>
      <c r="C3716" t="s">
        <v>2203</v>
      </c>
    </row>
    <row r="3717" spans="1:3" x14ac:dyDescent="0.2">
      <c r="A3717" t="s">
        <v>4189</v>
      </c>
      <c r="B3717" t="s">
        <v>1331</v>
      </c>
      <c r="C3717" t="s">
        <v>2203</v>
      </c>
    </row>
    <row r="3718" spans="1:3" x14ac:dyDescent="0.2">
      <c r="A3718" t="s">
        <v>4190</v>
      </c>
      <c r="B3718" t="s">
        <v>1331</v>
      </c>
      <c r="C3718" t="s">
        <v>2203</v>
      </c>
    </row>
    <row r="3719" spans="1:3" x14ac:dyDescent="0.2">
      <c r="A3719" t="s">
        <v>4191</v>
      </c>
      <c r="B3719" t="s">
        <v>1331</v>
      </c>
      <c r="C3719" t="s">
        <v>2203</v>
      </c>
    </row>
    <row r="3720" spans="1:3" x14ac:dyDescent="0.2">
      <c r="A3720" t="s">
        <v>4192</v>
      </c>
      <c r="B3720" t="s">
        <v>1331</v>
      </c>
      <c r="C3720" t="s">
        <v>2203</v>
      </c>
    </row>
    <row r="3721" spans="1:3" x14ac:dyDescent="0.2">
      <c r="A3721" t="s">
        <v>4193</v>
      </c>
      <c r="B3721" t="s">
        <v>1331</v>
      </c>
      <c r="C3721" t="s">
        <v>2203</v>
      </c>
    </row>
    <row r="3722" spans="1:3" x14ac:dyDescent="0.2">
      <c r="A3722" t="s">
        <v>4194</v>
      </c>
      <c r="B3722" t="s">
        <v>1331</v>
      </c>
      <c r="C3722" t="s">
        <v>2203</v>
      </c>
    </row>
    <row r="3723" spans="1:3" x14ac:dyDescent="0.2">
      <c r="A3723" t="s">
        <v>4195</v>
      </c>
      <c r="B3723" t="s">
        <v>1331</v>
      </c>
      <c r="C3723" t="s">
        <v>2203</v>
      </c>
    </row>
    <row r="3724" spans="1:3" x14ac:dyDescent="0.2">
      <c r="A3724" t="s">
        <v>4196</v>
      </c>
      <c r="B3724" t="s">
        <v>1331</v>
      </c>
      <c r="C3724" t="s">
        <v>2203</v>
      </c>
    </row>
    <row r="3725" spans="1:3" x14ac:dyDescent="0.2">
      <c r="A3725" t="s">
        <v>4197</v>
      </c>
      <c r="B3725" t="s">
        <v>1331</v>
      </c>
      <c r="C3725" t="s">
        <v>2203</v>
      </c>
    </row>
    <row r="3726" spans="1:3" x14ac:dyDescent="0.2">
      <c r="A3726" t="s">
        <v>4198</v>
      </c>
      <c r="B3726" t="s">
        <v>1331</v>
      </c>
      <c r="C3726" t="s">
        <v>2203</v>
      </c>
    </row>
    <row r="3727" spans="1:3" x14ac:dyDescent="0.2">
      <c r="A3727" t="s">
        <v>4199</v>
      </c>
      <c r="B3727" t="s">
        <v>1331</v>
      </c>
      <c r="C3727" t="s">
        <v>2203</v>
      </c>
    </row>
    <row r="3728" spans="1:3" x14ac:dyDescent="0.2">
      <c r="A3728" t="s">
        <v>4200</v>
      </c>
      <c r="B3728" t="s">
        <v>1331</v>
      </c>
      <c r="C3728" t="s">
        <v>2203</v>
      </c>
    </row>
    <row r="3729" spans="1:3" x14ac:dyDescent="0.2">
      <c r="A3729" t="s">
        <v>4201</v>
      </c>
      <c r="B3729" t="s">
        <v>1331</v>
      </c>
      <c r="C3729" t="s">
        <v>2203</v>
      </c>
    </row>
    <row r="3730" spans="1:3" x14ac:dyDescent="0.2">
      <c r="A3730" t="s">
        <v>4202</v>
      </c>
      <c r="B3730" t="s">
        <v>1331</v>
      </c>
      <c r="C3730" t="s">
        <v>2203</v>
      </c>
    </row>
    <row r="3731" spans="1:3" x14ac:dyDescent="0.2">
      <c r="A3731" t="s">
        <v>4203</v>
      </c>
      <c r="B3731" t="s">
        <v>1331</v>
      </c>
      <c r="C3731" t="s">
        <v>2203</v>
      </c>
    </row>
    <row r="3732" spans="1:3" x14ac:dyDescent="0.2">
      <c r="A3732" t="s">
        <v>4204</v>
      </c>
      <c r="B3732" t="s">
        <v>1331</v>
      </c>
      <c r="C3732" t="s">
        <v>2203</v>
      </c>
    </row>
    <row r="3733" spans="1:3" x14ac:dyDescent="0.2">
      <c r="A3733" t="s">
        <v>4205</v>
      </c>
      <c r="B3733" t="s">
        <v>1331</v>
      </c>
      <c r="C3733" t="s">
        <v>2203</v>
      </c>
    </row>
    <row r="3734" spans="1:3" x14ac:dyDescent="0.2">
      <c r="A3734" t="s">
        <v>4206</v>
      </c>
      <c r="B3734" t="s">
        <v>1331</v>
      </c>
      <c r="C3734" t="s">
        <v>2203</v>
      </c>
    </row>
    <row r="3735" spans="1:3" x14ac:dyDescent="0.2">
      <c r="A3735" t="s">
        <v>4207</v>
      </c>
      <c r="B3735" t="s">
        <v>1331</v>
      </c>
      <c r="C3735" t="s">
        <v>2203</v>
      </c>
    </row>
    <row r="3736" spans="1:3" x14ac:dyDescent="0.2">
      <c r="A3736" t="s">
        <v>4208</v>
      </c>
      <c r="B3736" t="s">
        <v>1331</v>
      </c>
      <c r="C3736" t="s">
        <v>2203</v>
      </c>
    </row>
    <row r="3737" spans="1:3" x14ac:dyDescent="0.2">
      <c r="A3737" t="s">
        <v>4209</v>
      </c>
      <c r="B3737" t="s">
        <v>1331</v>
      </c>
      <c r="C3737" t="s">
        <v>2203</v>
      </c>
    </row>
    <row r="3738" spans="1:3" x14ac:dyDescent="0.2">
      <c r="A3738" t="s">
        <v>4210</v>
      </c>
      <c r="B3738" t="s">
        <v>1331</v>
      </c>
      <c r="C3738" t="s">
        <v>2203</v>
      </c>
    </row>
    <row r="3739" spans="1:3" x14ac:dyDescent="0.2">
      <c r="A3739" t="s">
        <v>4211</v>
      </c>
      <c r="B3739" t="s">
        <v>1331</v>
      </c>
      <c r="C3739" t="s">
        <v>2203</v>
      </c>
    </row>
    <row r="3740" spans="1:3" x14ac:dyDescent="0.2">
      <c r="A3740" t="s">
        <v>4212</v>
      </c>
      <c r="B3740" t="s">
        <v>1331</v>
      </c>
      <c r="C3740" t="s">
        <v>2203</v>
      </c>
    </row>
    <row r="3741" spans="1:3" x14ac:dyDescent="0.2">
      <c r="A3741" t="s">
        <v>4213</v>
      </c>
      <c r="B3741" t="s">
        <v>1331</v>
      </c>
      <c r="C3741" t="s">
        <v>2203</v>
      </c>
    </row>
    <row r="3742" spans="1:3" x14ac:dyDescent="0.2">
      <c r="A3742" t="s">
        <v>4214</v>
      </c>
      <c r="B3742" t="s">
        <v>1331</v>
      </c>
      <c r="C3742" t="s">
        <v>2203</v>
      </c>
    </row>
    <row r="3743" spans="1:3" x14ac:dyDescent="0.2">
      <c r="A3743" t="s">
        <v>4215</v>
      </c>
      <c r="B3743" t="s">
        <v>1331</v>
      </c>
      <c r="C3743" t="s">
        <v>2203</v>
      </c>
    </row>
    <row r="3744" spans="1:3" x14ac:dyDescent="0.2">
      <c r="A3744" t="s">
        <v>4216</v>
      </c>
      <c r="B3744" t="s">
        <v>1331</v>
      </c>
      <c r="C3744" t="s">
        <v>2203</v>
      </c>
    </row>
    <row r="3745" spans="1:3" x14ac:dyDescent="0.2">
      <c r="A3745" t="s">
        <v>4217</v>
      </c>
      <c r="B3745" t="s">
        <v>1331</v>
      </c>
      <c r="C3745" t="s">
        <v>2203</v>
      </c>
    </row>
    <row r="3746" spans="1:3" x14ac:dyDescent="0.2">
      <c r="A3746" t="s">
        <v>4218</v>
      </c>
      <c r="B3746" t="s">
        <v>1331</v>
      </c>
      <c r="C3746" t="s">
        <v>2203</v>
      </c>
    </row>
    <row r="3747" spans="1:3" x14ac:dyDescent="0.2">
      <c r="A3747" t="s">
        <v>4219</v>
      </c>
      <c r="B3747" t="s">
        <v>1331</v>
      </c>
      <c r="C3747" t="s">
        <v>2203</v>
      </c>
    </row>
    <row r="3748" spans="1:3" x14ac:dyDescent="0.2">
      <c r="A3748" t="s">
        <v>4220</v>
      </c>
      <c r="B3748" t="s">
        <v>1331</v>
      </c>
      <c r="C3748" t="s">
        <v>2203</v>
      </c>
    </row>
    <row r="3749" spans="1:3" x14ac:dyDescent="0.2">
      <c r="A3749" t="s">
        <v>4221</v>
      </c>
      <c r="B3749" t="s">
        <v>1331</v>
      </c>
      <c r="C3749" t="s">
        <v>2203</v>
      </c>
    </row>
    <row r="3750" spans="1:3" x14ac:dyDescent="0.2">
      <c r="A3750" t="s">
        <v>4222</v>
      </c>
      <c r="B3750" t="s">
        <v>1331</v>
      </c>
      <c r="C3750" t="s">
        <v>2203</v>
      </c>
    </row>
    <row r="3751" spans="1:3" x14ac:dyDescent="0.2">
      <c r="A3751" t="s">
        <v>4223</v>
      </c>
      <c r="B3751" t="s">
        <v>1331</v>
      </c>
      <c r="C3751" t="s">
        <v>2203</v>
      </c>
    </row>
    <row r="3752" spans="1:3" x14ac:dyDescent="0.2">
      <c r="A3752" t="s">
        <v>4224</v>
      </c>
      <c r="B3752" t="s">
        <v>1331</v>
      </c>
      <c r="C3752" t="s">
        <v>2203</v>
      </c>
    </row>
    <row r="3753" spans="1:3" x14ac:dyDescent="0.2">
      <c r="A3753" t="s">
        <v>4225</v>
      </c>
      <c r="B3753" t="s">
        <v>1331</v>
      </c>
      <c r="C3753" t="s">
        <v>2203</v>
      </c>
    </row>
    <row r="3754" spans="1:3" x14ac:dyDescent="0.2">
      <c r="A3754" t="s">
        <v>4226</v>
      </c>
      <c r="B3754" t="s">
        <v>1331</v>
      </c>
      <c r="C3754" t="s">
        <v>2203</v>
      </c>
    </row>
    <row r="3755" spans="1:3" x14ac:dyDescent="0.2">
      <c r="A3755" t="s">
        <v>4227</v>
      </c>
      <c r="B3755" t="s">
        <v>1331</v>
      </c>
      <c r="C3755" t="s">
        <v>2203</v>
      </c>
    </row>
    <row r="3756" spans="1:3" x14ac:dyDescent="0.2">
      <c r="A3756" t="s">
        <v>4228</v>
      </c>
      <c r="B3756" t="s">
        <v>1331</v>
      </c>
      <c r="C3756" t="s">
        <v>2203</v>
      </c>
    </row>
    <row r="3757" spans="1:3" x14ac:dyDescent="0.2">
      <c r="A3757" t="s">
        <v>4229</v>
      </c>
      <c r="B3757" t="s">
        <v>1331</v>
      </c>
      <c r="C3757" t="s">
        <v>2203</v>
      </c>
    </row>
    <row r="3758" spans="1:3" x14ac:dyDescent="0.2">
      <c r="A3758" t="s">
        <v>4230</v>
      </c>
      <c r="B3758" t="s">
        <v>1331</v>
      </c>
      <c r="C3758" t="s">
        <v>2203</v>
      </c>
    </row>
    <row r="3759" spans="1:3" x14ac:dyDescent="0.2">
      <c r="A3759" t="s">
        <v>4231</v>
      </c>
      <c r="B3759" t="s">
        <v>1331</v>
      </c>
      <c r="C3759" t="s">
        <v>2203</v>
      </c>
    </row>
    <row r="3760" spans="1:3" x14ac:dyDescent="0.2">
      <c r="A3760" t="s">
        <v>4232</v>
      </c>
      <c r="B3760" t="s">
        <v>1331</v>
      </c>
      <c r="C3760" t="s">
        <v>2203</v>
      </c>
    </row>
    <row r="3761" spans="1:3" x14ac:dyDescent="0.2">
      <c r="A3761" t="s">
        <v>4233</v>
      </c>
      <c r="B3761" t="s">
        <v>1331</v>
      </c>
      <c r="C3761" t="s">
        <v>2203</v>
      </c>
    </row>
    <row r="3762" spans="1:3" x14ac:dyDescent="0.2">
      <c r="A3762" t="s">
        <v>4234</v>
      </c>
      <c r="B3762" t="s">
        <v>1331</v>
      </c>
      <c r="C3762" t="s">
        <v>2203</v>
      </c>
    </row>
    <row r="3763" spans="1:3" x14ac:dyDescent="0.2">
      <c r="A3763" t="s">
        <v>4235</v>
      </c>
      <c r="B3763" t="s">
        <v>1331</v>
      </c>
      <c r="C3763" t="s">
        <v>2203</v>
      </c>
    </row>
    <row r="3764" spans="1:3" x14ac:dyDescent="0.2">
      <c r="A3764" t="s">
        <v>4236</v>
      </c>
      <c r="B3764" t="s">
        <v>1331</v>
      </c>
      <c r="C3764" t="s">
        <v>2203</v>
      </c>
    </row>
    <row r="3765" spans="1:3" x14ac:dyDescent="0.2">
      <c r="A3765" t="s">
        <v>4237</v>
      </c>
      <c r="B3765" t="s">
        <v>1331</v>
      </c>
      <c r="C3765" t="s">
        <v>2203</v>
      </c>
    </row>
    <row r="3766" spans="1:3" x14ac:dyDescent="0.2">
      <c r="A3766" t="s">
        <v>4238</v>
      </c>
      <c r="B3766" t="s">
        <v>1331</v>
      </c>
      <c r="C3766" t="s">
        <v>2203</v>
      </c>
    </row>
    <row r="3767" spans="1:3" x14ac:dyDescent="0.2">
      <c r="A3767" t="s">
        <v>4239</v>
      </c>
      <c r="B3767" t="s">
        <v>1331</v>
      </c>
      <c r="C3767" t="s">
        <v>2203</v>
      </c>
    </row>
    <row r="3768" spans="1:3" x14ac:dyDescent="0.2">
      <c r="A3768" t="s">
        <v>4240</v>
      </c>
      <c r="B3768" t="s">
        <v>1331</v>
      </c>
      <c r="C3768" t="s">
        <v>2203</v>
      </c>
    </row>
    <row r="3769" spans="1:3" x14ac:dyDescent="0.2">
      <c r="A3769" t="s">
        <v>4241</v>
      </c>
      <c r="B3769" t="s">
        <v>1331</v>
      </c>
      <c r="C3769" t="s">
        <v>2203</v>
      </c>
    </row>
    <row r="3770" spans="1:3" x14ac:dyDescent="0.2">
      <c r="A3770" t="s">
        <v>4242</v>
      </c>
      <c r="B3770" t="s">
        <v>1331</v>
      </c>
      <c r="C3770" t="s">
        <v>2203</v>
      </c>
    </row>
    <row r="3771" spans="1:3" x14ac:dyDescent="0.2">
      <c r="A3771" t="s">
        <v>4243</v>
      </c>
      <c r="B3771" t="s">
        <v>1331</v>
      </c>
      <c r="C3771" t="s">
        <v>2203</v>
      </c>
    </row>
    <row r="3772" spans="1:3" x14ac:dyDescent="0.2">
      <c r="A3772" t="s">
        <v>4244</v>
      </c>
      <c r="B3772" t="s">
        <v>1331</v>
      </c>
      <c r="C3772" t="s">
        <v>2203</v>
      </c>
    </row>
    <row r="3773" spans="1:3" x14ac:dyDescent="0.2">
      <c r="A3773" t="s">
        <v>4245</v>
      </c>
      <c r="B3773" t="s">
        <v>1331</v>
      </c>
      <c r="C3773" t="s">
        <v>2203</v>
      </c>
    </row>
    <row r="3774" spans="1:3" x14ac:dyDescent="0.2">
      <c r="A3774" t="s">
        <v>4246</v>
      </c>
      <c r="B3774" t="s">
        <v>1331</v>
      </c>
      <c r="C3774" t="s">
        <v>2203</v>
      </c>
    </row>
    <row r="3775" spans="1:3" x14ac:dyDescent="0.2">
      <c r="A3775" t="s">
        <v>4247</v>
      </c>
      <c r="B3775" t="s">
        <v>1331</v>
      </c>
      <c r="C3775" t="s">
        <v>2203</v>
      </c>
    </row>
    <row r="3776" spans="1:3" x14ac:dyDescent="0.2">
      <c r="A3776" t="s">
        <v>4248</v>
      </c>
      <c r="B3776" t="s">
        <v>1331</v>
      </c>
      <c r="C3776" t="s">
        <v>2203</v>
      </c>
    </row>
    <row r="3777" spans="1:3" x14ac:dyDescent="0.2">
      <c r="A3777" t="s">
        <v>4249</v>
      </c>
      <c r="B3777" t="s">
        <v>1331</v>
      </c>
      <c r="C3777" t="s">
        <v>2203</v>
      </c>
    </row>
    <row r="3778" spans="1:3" x14ac:dyDescent="0.2">
      <c r="A3778" t="s">
        <v>4250</v>
      </c>
      <c r="B3778" t="s">
        <v>1331</v>
      </c>
      <c r="C3778" t="s">
        <v>2203</v>
      </c>
    </row>
    <row r="3779" spans="1:3" x14ac:dyDescent="0.2">
      <c r="A3779" t="s">
        <v>4251</v>
      </c>
      <c r="B3779" t="s">
        <v>1331</v>
      </c>
      <c r="C3779" t="s">
        <v>2203</v>
      </c>
    </row>
    <row r="3780" spans="1:3" x14ac:dyDescent="0.2">
      <c r="A3780" t="s">
        <v>4252</v>
      </c>
      <c r="B3780" t="s">
        <v>1331</v>
      </c>
      <c r="C3780" t="s">
        <v>2203</v>
      </c>
    </row>
    <row r="3781" spans="1:3" x14ac:dyDescent="0.2">
      <c r="A3781" t="s">
        <v>4253</v>
      </c>
      <c r="B3781" t="s">
        <v>1331</v>
      </c>
      <c r="C3781" t="s">
        <v>2203</v>
      </c>
    </row>
    <row r="3782" spans="1:3" x14ac:dyDescent="0.2">
      <c r="A3782" t="s">
        <v>4254</v>
      </c>
      <c r="B3782" t="s">
        <v>1331</v>
      </c>
      <c r="C3782" t="s">
        <v>2203</v>
      </c>
    </row>
    <row r="3783" spans="1:3" x14ac:dyDescent="0.2">
      <c r="A3783" t="s">
        <v>4255</v>
      </c>
      <c r="B3783" t="s">
        <v>1331</v>
      </c>
      <c r="C3783" t="s">
        <v>2203</v>
      </c>
    </row>
    <row r="3784" spans="1:3" x14ac:dyDescent="0.2">
      <c r="A3784" t="s">
        <v>4256</v>
      </c>
      <c r="B3784" t="s">
        <v>1331</v>
      </c>
      <c r="C3784" t="s">
        <v>2203</v>
      </c>
    </row>
    <row r="3785" spans="1:3" x14ac:dyDescent="0.2">
      <c r="A3785" t="s">
        <v>4257</v>
      </c>
      <c r="B3785" t="s">
        <v>1331</v>
      </c>
      <c r="C3785" t="s">
        <v>2203</v>
      </c>
    </row>
    <row r="3786" spans="1:3" x14ac:dyDescent="0.2">
      <c r="A3786" t="s">
        <v>4258</v>
      </c>
      <c r="B3786" t="s">
        <v>1331</v>
      </c>
      <c r="C3786" t="s">
        <v>2203</v>
      </c>
    </row>
    <row r="3787" spans="1:3" x14ac:dyDescent="0.2">
      <c r="A3787" t="s">
        <v>4259</v>
      </c>
      <c r="B3787" t="s">
        <v>1331</v>
      </c>
      <c r="C3787" t="s">
        <v>2203</v>
      </c>
    </row>
    <row r="3788" spans="1:3" x14ac:dyDescent="0.2">
      <c r="A3788" t="s">
        <v>4260</v>
      </c>
      <c r="B3788" t="s">
        <v>1331</v>
      </c>
      <c r="C3788" t="s">
        <v>2203</v>
      </c>
    </row>
    <row r="3789" spans="1:3" x14ac:dyDescent="0.2">
      <c r="A3789" t="s">
        <v>4261</v>
      </c>
      <c r="B3789" t="s">
        <v>1331</v>
      </c>
      <c r="C3789" t="s">
        <v>2203</v>
      </c>
    </row>
    <row r="3790" spans="1:3" x14ac:dyDescent="0.2">
      <c r="A3790" t="s">
        <v>4262</v>
      </c>
      <c r="B3790" t="s">
        <v>1331</v>
      </c>
      <c r="C3790" t="s">
        <v>2203</v>
      </c>
    </row>
    <row r="3791" spans="1:3" x14ac:dyDescent="0.2">
      <c r="A3791" t="s">
        <v>4263</v>
      </c>
      <c r="B3791" t="s">
        <v>1331</v>
      </c>
      <c r="C3791" t="s">
        <v>2203</v>
      </c>
    </row>
    <row r="3792" spans="1:3" x14ac:dyDescent="0.2">
      <c r="A3792" t="s">
        <v>4264</v>
      </c>
      <c r="B3792" t="s">
        <v>1331</v>
      </c>
      <c r="C3792" t="s">
        <v>2203</v>
      </c>
    </row>
    <row r="3793" spans="1:3" x14ac:dyDescent="0.2">
      <c r="A3793" t="s">
        <v>4265</v>
      </c>
      <c r="B3793" t="s">
        <v>1331</v>
      </c>
      <c r="C3793" t="s">
        <v>2203</v>
      </c>
    </row>
    <row r="3794" spans="1:3" x14ac:dyDescent="0.2">
      <c r="A3794" t="s">
        <v>4266</v>
      </c>
      <c r="B3794" t="s">
        <v>1331</v>
      </c>
      <c r="C3794" t="s">
        <v>2203</v>
      </c>
    </row>
    <row r="3795" spans="1:3" x14ac:dyDescent="0.2">
      <c r="A3795" t="s">
        <v>4267</v>
      </c>
      <c r="B3795" t="s">
        <v>1331</v>
      </c>
      <c r="C3795" t="s">
        <v>2203</v>
      </c>
    </row>
    <row r="3796" spans="1:3" x14ac:dyDescent="0.2">
      <c r="A3796" t="s">
        <v>4268</v>
      </c>
      <c r="B3796" t="s">
        <v>1331</v>
      </c>
      <c r="C3796" t="s">
        <v>2203</v>
      </c>
    </row>
    <row r="3797" spans="1:3" x14ac:dyDescent="0.2">
      <c r="A3797" t="s">
        <v>4269</v>
      </c>
      <c r="B3797" t="s">
        <v>1331</v>
      </c>
      <c r="C3797" t="s">
        <v>2203</v>
      </c>
    </row>
    <row r="3798" spans="1:3" x14ac:dyDescent="0.2">
      <c r="A3798" t="s">
        <v>4270</v>
      </c>
      <c r="B3798" t="s">
        <v>1331</v>
      </c>
      <c r="C3798" t="s">
        <v>2203</v>
      </c>
    </row>
    <row r="3799" spans="1:3" x14ac:dyDescent="0.2">
      <c r="A3799" t="s">
        <v>4271</v>
      </c>
      <c r="B3799" t="s">
        <v>1331</v>
      </c>
      <c r="C3799" t="s">
        <v>2203</v>
      </c>
    </row>
    <row r="3800" spans="1:3" x14ac:dyDescent="0.2">
      <c r="A3800" t="s">
        <v>4272</v>
      </c>
      <c r="B3800" t="s">
        <v>1331</v>
      </c>
      <c r="C3800" t="s">
        <v>2203</v>
      </c>
    </row>
    <row r="3801" spans="1:3" x14ac:dyDescent="0.2">
      <c r="A3801" t="s">
        <v>4273</v>
      </c>
      <c r="B3801" t="s">
        <v>1331</v>
      </c>
      <c r="C3801" t="s">
        <v>2203</v>
      </c>
    </row>
    <row r="3802" spans="1:3" x14ac:dyDescent="0.2">
      <c r="A3802" t="s">
        <v>4274</v>
      </c>
      <c r="B3802" t="s">
        <v>1331</v>
      </c>
      <c r="C3802" t="s">
        <v>2203</v>
      </c>
    </row>
    <row r="3803" spans="1:3" x14ac:dyDescent="0.2">
      <c r="A3803" t="s">
        <v>4275</v>
      </c>
      <c r="B3803" t="s">
        <v>1331</v>
      </c>
      <c r="C3803" t="s">
        <v>2203</v>
      </c>
    </row>
    <row r="3804" spans="1:3" x14ac:dyDescent="0.2">
      <c r="A3804" t="s">
        <v>4276</v>
      </c>
      <c r="B3804" t="s">
        <v>1331</v>
      </c>
      <c r="C3804" t="s">
        <v>2203</v>
      </c>
    </row>
    <row r="3805" spans="1:3" x14ac:dyDescent="0.2">
      <c r="A3805" t="s">
        <v>4277</v>
      </c>
      <c r="B3805" t="s">
        <v>1331</v>
      </c>
      <c r="C3805" t="s">
        <v>2203</v>
      </c>
    </row>
    <row r="3806" spans="1:3" x14ac:dyDescent="0.2">
      <c r="A3806" t="s">
        <v>4278</v>
      </c>
      <c r="B3806" t="s">
        <v>1331</v>
      </c>
      <c r="C3806" t="s">
        <v>2203</v>
      </c>
    </row>
    <row r="3807" spans="1:3" x14ac:dyDescent="0.2">
      <c r="A3807" t="s">
        <v>4279</v>
      </c>
      <c r="B3807" t="s">
        <v>1331</v>
      </c>
      <c r="C3807" t="s">
        <v>2203</v>
      </c>
    </row>
    <row r="3808" spans="1:3" x14ac:dyDescent="0.2">
      <c r="A3808" t="s">
        <v>4280</v>
      </c>
      <c r="B3808" t="s">
        <v>1331</v>
      </c>
      <c r="C3808" t="s">
        <v>2203</v>
      </c>
    </row>
    <row r="3809" spans="1:3" x14ac:dyDescent="0.2">
      <c r="A3809" t="s">
        <v>4281</v>
      </c>
      <c r="B3809" t="s">
        <v>1331</v>
      </c>
      <c r="C3809" t="s">
        <v>2203</v>
      </c>
    </row>
    <row r="3810" spans="1:3" x14ac:dyDescent="0.2">
      <c r="A3810" t="s">
        <v>4282</v>
      </c>
      <c r="B3810" t="s">
        <v>1331</v>
      </c>
      <c r="C3810" t="s">
        <v>2203</v>
      </c>
    </row>
    <row r="3811" spans="1:3" x14ac:dyDescent="0.2">
      <c r="A3811" t="s">
        <v>4283</v>
      </c>
      <c r="B3811" t="s">
        <v>1331</v>
      </c>
      <c r="C3811" t="s">
        <v>2203</v>
      </c>
    </row>
    <row r="3812" spans="1:3" x14ac:dyDescent="0.2">
      <c r="A3812" t="s">
        <v>4284</v>
      </c>
      <c r="B3812" t="s">
        <v>1331</v>
      </c>
      <c r="C3812" t="s">
        <v>2203</v>
      </c>
    </row>
    <row r="3813" spans="1:3" x14ac:dyDescent="0.2">
      <c r="A3813" t="s">
        <v>4285</v>
      </c>
      <c r="B3813" t="s">
        <v>1331</v>
      </c>
      <c r="C3813" t="s">
        <v>2203</v>
      </c>
    </row>
    <row r="3814" spans="1:3" x14ac:dyDescent="0.2">
      <c r="A3814" t="s">
        <v>4286</v>
      </c>
      <c r="B3814" t="s">
        <v>1331</v>
      </c>
      <c r="C3814" t="s">
        <v>2203</v>
      </c>
    </row>
    <row r="3815" spans="1:3" x14ac:dyDescent="0.2">
      <c r="A3815" t="s">
        <v>4287</v>
      </c>
      <c r="B3815" t="s">
        <v>1331</v>
      </c>
      <c r="C3815" t="s">
        <v>2203</v>
      </c>
    </row>
    <row r="3816" spans="1:3" x14ac:dyDescent="0.2">
      <c r="A3816" t="s">
        <v>4288</v>
      </c>
      <c r="B3816" t="s">
        <v>1331</v>
      </c>
      <c r="C3816" t="s">
        <v>2203</v>
      </c>
    </row>
    <row r="3817" spans="1:3" x14ac:dyDescent="0.2">
      <c r="A3817" t="s">
        <v>4289</v>
      </c>
      <c r="B3817" t="s">
        <v>1331</v>
      </c>
      <c r="C3817" t="s">
        <v>2203</v>
      </c>
    </row>
    <row r="3818" spans="1:3" x14ac:dyDescent="0.2">
      <c r="A3818" t="s">
        <v>4290</v>
      </c>
      <c r="B3818" t="s">
        <v>1331</v>
      </c>
      <c r="C3818" t="s">
        <v>2203</v>
      </c>
    </row>
    <row r="3819" spans="1:3" x14ac:dyDescent="0.2">
      <c r="A3819" t="s">
        <v>4291</v>
      </c>
      <c r="B3819" t="s">
        <v>1331</v>
      </c>
      <c r="C3819" t="s">
        <v>2203</v>
      </c>
    </row>
    <row r="3820" spans="1:3" x14ac:dyDescent="0.2">
      <c r="A3820" t="s">
        <v>2202</v>
      </c>
      <c r="B3820" t="s">
        <v>1331</v>
      </c>
      <c r="C3820" t="s">
        <v>2203</v>
      </c>
    </row>
    <row r="3821" spans="1:3" x14ac:dyDescent="0.2">
      <c r="A3821" t="s">
        <v>2204</v>
      </c>
      <c r="B3821" t="s">
        <v>1331</v>
      </c>
      <c r="C3821" t="s">
        <v>2203</v>
      </c>
    </row>
    <row r="3822" spans="1:3" x14ac:dyDescent="0.2">
      <c r="A3822" t="s">
        <v>2205</v>
      </c>
      <c r="B3822" t="s">
        <v>1331</v>
      </c>
      <c r="C3822" t="s">
        <v>2203</v>
      </c>
    </row>
    <row r="3823" spans="1:3" x14ac:dyDescent="0.2">
      <c r="A3823" t="s">
        <v>5228</v>
      </c>
      <c r="B3823" t="s">
        <v>1331</v>
      </c>
      <c r="C3823" t="s">
        <v>2203</v>
      </c>
    </row>
    <row r="3824" spans="1:3" x14ac:dyDescent="0.2">
      <c r="A3824" t="s">
        <v>2206</v>
      </c>
      <c r="B3824" t="s">
        <v>1331</v>
      </c>
      <c r="C3824" t="s">
        <v>2203</v>
      </c>
    </row>
    <row r="3825" spans="1:3" x14ac:dyDescent="0.2">
      <c r="A3825" t="s">
        <v>4725</v>
      </c>
      <c r="B3825" t="s">
        <v>1331</v>
      </c>
      <c r="C3825" t="s">
        <v>2203</v>
      </c>
    </row>
    <row r="3826" spans="1:3" x14ac:dyDescent="0.2">
      <c r="A3826" t="s">
        <v>2207</v>
      </c>
      <c r="B3826" t="s">
        <v>1331</v>
      </c>
      <c r="C3826" t="s">
        <v>2203</v>
      </c>
    </row>
    <row r="3827" spans="1:3" x14ac:dyDescent="0.2">
      <c r="A3827" t="s">
        <v>2208</v>
      </c>
      <c r="B3827" t="s">
        <v>1331</v>
      </c>
      <c r="C3827" t="s">
        <v>2203</v>
      </c>
    </row>
    <row r="3828" spans="1:3" x14ac:dyDescent="0.2">
      <c r="A3828" t="s">
        <v>2209</v>
      </c>
      <c r="B3828" t="s">
        <v>1331</v>
      </c>
      <c r="C3828" t="s">
        <v>2203</v>
      </c>
    </row>
    <row r="3829" spans="1:3" x14ac:dyDescent="0.2">
      <c r="A3829" t="s">
        <v>5612</v>
      </c>
      <c r="B3829" t="s">
        <v>1331</v>
      </c>
      <c r="C3829" t="s">
        <v>2203</v>
      </c>
    </row>
    <row r="3830" spans="1:3" x14ac:dyDescent="0.2">
      <c r="A3830" t="s">
        <v>6671</v>
      </c>
      <c r="B3830" t="s">
        <v>1331</v>
      </c>
      <c r="C3830" t="s">
        <v>2203</v>
      </c>
    </row>
    <row r="3831" spans="1:3" x14ac:dyDescent="0.2">
      <c r="A3831" t="s">
        <v>2210</v>
      </c>
      <c r="B3831" t="s">
        <v>1331</v>
      </c>
      <c r="C3831" t="s">
        <v>2203</v>
      </c>
    </row>
    <row r="3832" spans="1:3" x14ac:dyDescent="0.2">
      <c r="A3832" t="s">
        <v>2211</v>
      </c>
      <c r="B3832" t="s">
        <v>1331</v>
      </c>
      <c r="C3832" t="s">
        <v>2203</v>
      </c>
    </row>
    <row r="3833" spans="1:3" x14ac:dyDescent="0.2">
      <c r="A3833" t="s">
        <v>2212</v>
      </c>
      <c r="B3833" t="s">
        <v>1331</v>
      </c>
      <c r="C3833" t="s">
        <v>2203</v>
      </c>
    </row>
    <row r="3834" spans="1:3" x14ac:dyDescent="0.2">
      <c r="A3834" t="s">
        <v>2213</v>
      </c>
      <c r="B3834" t="s">
        <v>1331</v>
      </c>
      <c r="C3834" t="s">
        <v>2203</v>
      </c>
    </row>
    <row r="3835" spans="1:3" x14ac:dyDescent="0.2">
      <c r="A3835" t="s">
        <v>2214</v>
      </c>
      <c r="B3835" t="s">
        <v>1331</v>
      </c>
      <c r="C3835" t="s">
        <v>2203</v>
      </c>
    </row>
    <row r="3836" spans="1:3" x14ac:dyDescent="0.2">
      <c r="A3836" t="s">
        <v>2215</v>
      </c>
      <c r="B3836" t="s">
        <v>1331</v>
      </c>
      <c r="C3836" t="s">
        <v>2203</v>
      </c>
    </row>
    <row r="3837" spans="1:3" x14ac:dyDescent="0.2">
      <c r="A3837" t="s">
        <v>2216</v>
      </c>
      <c r="B3837" t="s">
        <v>1331</v>
      </c>
      <c r="C3837" t="s">
        <v>2203</v>
      </c>
    </row>
    <row r="3838" spans="1:3" x14ac:dyDescent="0.2">
      <c r="A3838" t="s">
        <v>2217</v>
      </c>
      <c r="B3838" t="s">
        <v>1331</v>
      </c>
      <c r="C3838" t="s">
        <v>2203</v>
      </c>
    </row>
    <row r="3839" spans="1:3" x14ac:dyDescent="0.2">
      <c r="A3839" t="s">
        <v>4726</v>
      </c>
      <c r="B3839" t="s">
        <v>1331</v>
      </c>
      <c r="C3839" t="s">
        <v>2203</v>
      </c>
    </row>
    <row r="3840" spans="1:3" x14ac:dyDescent="0.2">
      <c r="A3840" t="s">
        <v>5728</v>
      </c>
      <c r="B3840" t="s">
        <v>1331</v>
      </c>
      <c r="C3840" t="s">
        <v>2203</v>
      </c>
    </row>
    <row r="3841" spans="1:3" x14ac:dyDescent="0.2">
      <c r="A3841" t="s">
        <v>2218</v>
      </c>
      <c r="B3841" t="s">
        <v>1331</v>
      </c>
      <c r="C3841" t="s">
        <v>2203</v>
      </c>
    </row>
    <row r="3842" spans="1:3" x14ac:dyDescent="0.2">
      <c r="A3842" t="s">
        <v>2219</v>
      </c>
      <c r="B3842" t="s">
        <v>1331</v>
      </c>
      <c r="C3842" t="s">
        <v>2203</v>
      </c>
    </row>
    <row r="3843" spans="1:3" x14ac:dyDescent="0.2">
      <c r="A3843" t="s">
        <v>6672</v>
      </c>
      <c r="B3843" t="s">
        <v>1331</v>
      </c>
      <c r="C3843" t="s">
        <v>2203</v>
      </c>
    </row>
    <row r="3844" spans="1:3" x14ac:dyDescent="0.2">
      <c r="A3844" t="s">
        <v>2220</v>
      </c>
      <c r="B3844" t="s">
        <v>1331</v>
      </c>
      <c r="C3844" t="s">
        <v>2203</v>
      </c>
    </row>
    <row r="3845" spans="1:3" x14ac:dyDescent="0.2">
      <c r="A3845" t="s">
        <v>4955</v>
      </c>
      <c r="B3845" t="s">
        <v>1331</v>
      </c>
      <c r="C3845" t="s">
        <v>2203</v>
      </c>
    </row>
    <row r="3846" spans="1:3" x14ac:dyDescent="0.2">
      <c r="A3846" t="s">
        <v>2221</v>
      </c>
      <c r="B3846" t="s">
        <v>1331</v>
      </c>
      <c r="C3846" t="s">
        <v>2203</v>
      </c>
    </row>
    <row r="3847" spans="1:3" x14ac:dyDescent="0.2">
      <c r="A3847" t="s">
        <v>2222</v>
      </c>
      <c r="B3847" t="s">
        <v>1331</v>
      </c>
      <c r="C3847" t="s">
        <v>2203</v>
      </c>
    </row>
    <row r="3848" spans="1:3" x14ac:dyDescent="0.2">
      <c r="A3848" t="s">
        <v>4599</v>
      </c>
      <c r="B3848" t="s">
        <v>1331</v>
      </c>
      <c r="C3848" t="s">
        <v>2203</v>
      </c>
    </row>
    <row r="3849" spans="1:3" x14ac:dyDescent="0.2">
      <c r="A3849" t="s">
        <v>2223</v>
      </c>
      <c r="B3849" t="s">
        <v>1331</v>
      </c>
      <c r="C3849" t="s">
        <v>2203</v>
      </c>
    </row>
    <row r="3850" spans="1:3" x14ac:dyDescent="0.2">
      <c r="A3850" t="s">
        <v>2224</v>
      </c>
      <c r="B3850" t="s">
        <v>1331</v>
      </c>
      <c r="C3850" t="s">
        <v>2203</v>
      </c>
    </row>
    <row r="3851" spans="1:3" x14ac:dyDescent="0.2">
      <c r="A3851" t="s">
        <v>2225</v>
      </c>
      <c r="B3851" t="s">
        <v>1331</v>
      </c>
      <c r="C3851" t="s">
        <v>2203</v>
      </c>
    </row>
    <row r="3852" spans="1:3" x14ac:dyDescent="0.2">
      <c r="A3852" t="s">
        <v>2226</v>
      </c>
      <c r="B3852" t="s">
        <v>1331</v>
      </c>
      <c r="C3852" t="s">
        <v>2203</v>
      </c>
    </row>
    <row r="3853" spans="1:3" x14ac:dyDescent="0.2">
      <c r="A3853" t="s">
        <v>2227</v>
      </c>
      <c r="B3853" t="s">
        <v>1331</v>
      </c>
      <c r="C3853" t="s">
        <v>2203</v>
      </c>
    </row>
    <row r="3854" spans="1:3" x14ac:dyDescent="0.2">
      <c r="A3854" t="s">
        <v>2228</v>
      </c>
      <c r="B3854" t="s">
        <v>1331</v>
      </c>
      <c r="C3854" t="s">
        <v>2203</v>
      </c>
    </row>
    <row r="3855" spans="1:3" x14ac:dyDescent="0.2">
      <c r="A3855" t="s">
        <v>2229</v>
      </c>
      <c r="B3855" t="s">
        <v>1331</v>
      </c>
      <c r="C3855" t="s">
        <v>2203</v>
      </c>
    </row>
    <row r="3856" spans="1:3" x14ac:dyDescent="0.2">
      <c r="A3856" t="s">
        <v>4956</v>
      </c>
      <c r="B3856" t="s">
        <v>1331</v>
      </c>
      <c r="C3856" t="s">
        <v>2203</v>
      </c>
    </row>
    <row r="3857" spans="1:3" x14ac:dyDescent="0.2">
      <c r="A3857" t="s">
        <v>2230</v>
      </c>
      <c r="B3857" t="s">
        <v>1331</v>
      </c>
      <c r="C3857" t="s">
        <v>2203</v>
      </c>
    </row>
    <row r="3858" spans="1:3" x14ac:dyDescent="0.2">
      <c r="A3858" t="s">
        <v>2231</v>
      </c>
      <c r="B3858" t="s">
        <v>1331</v>
      </c>
      <c r="C3858" t="s">
        <v>2203</v>
      </c>
    </row>
    <row r="3859" spans="1:3" x14ac:dyDescent="0.2">
      <c r="A3859" t="s">
        <v>2232</v>
      </c>
      <c r="B3859" t="s">
        <v>1331</v>
      </c>
      <c r="C3859" t="s">
        <v>2203</v>
      </c>
    </row>
    <row r="3860" spans="1:3" x14ac:dyDescent="0.2">
      <c r="A3860" t="s">
        <v>2233</v>
      </c>
      <c r="B3860" t="s">
        <v>1331</v>
      </c>
      <c r="C3860" t="s">
        <v>2203</v>
      </c>
    </row>
    <row r="3861" spans="1:3" x14ac:dyDescent="0.2">
      <c r="A3861" t="s">
        <v>2234</v>
      </c>
      <c r="B3861" t="s">
        <v>1331</v>
      </c>
      <c r="C3861" t="s">
        <v>2203</v>
      </c>
    </row>
    <row r="3862" spans="1:3" x14ac:dyDescent="0.2">
      <c r="A3862" t="s">
        <v>5229</v>
      </c>
      <c r="B3862" t="s">
        <v>1331</v>
      </c>
      <c r="C3862" t="s">
        <v>2203</v>
      </c>
    </row>
    <row r="3863" spans="1:3" x14ac:dyDescent="0.2">
      <c r="A3863" t="s">
        <v>2235</v>
      </c>
      <c r="B3863" t="s">
        <v>1331</v>
      </c>
      <c r="C3863" t="s">
        <v>2203</v>
      </c>
    </row>
    <row r="3864" spans="1:3" x14ac:dyDescent="0.2">
      <c r="A3864" t="s">
        <v>2236</v>
      </c>
      <c r="B3864" t="s">
        <v>1331</v>
      </c>
      <c r="C3864" t="s">
        <v>2203</v>
      </c>
    </row>
    <row r="3865" spans="1:3" x14ac:dyDescent="0.2">
      <c r="A3865" t="s">
        <v>5230</v>
      </c>
      <c r="B3865" t="s">
        <v>1331</v>
      </c>
      <c r="C3865" t="s">
        <v>2203</v>
      </c>
    </row>
    <row r="3866" spans="1:3" x14ac:dyDescent="0.2">
      <c r="A3866" t="s">
        <v>2237</v>
      </c>
      <c r="B3866" t="s">
        <v>1331</v>
      </c>
      <c r="C3866" t="s">
        <v>2203</v>
      </c>
    </row>
    <row r="3867" spans="1:3" x14ac:dyDescent="0.2">
      <c r="A3867" t="s">
        <v>2238</v>
      </c>
      <c r="B3867" t="s">
        <v>1331</v>
      </c>
      <c r="C3867" t="s">
        <v>2203</v>
      </c>
    </row>
    <row r="3868" spans="1:3" x14ac:dyDescent="0.2">
      <c r="A3868" t="s">
        <v>2239</v>
      </c>
      <c r="B3868" t="s">
        <v>1331</v>
      </c>
      <c r="C3868" t="s">
        <v>2203</v>
      </c>
    </row>
    <row r="3869" spans="1:3" x14ac:dyDescent="0.2">
      <c r="A3869" t="s">
        <v>5729</v>
      </c>
      <c r="B3869" t="s">
        <v>1331</v>
      </c>
      <c r="C3869" t="s">
        <v>2203</v>
      </c>
    </row>
    <row r="3870" spans="1:3" x14ac:dyDescent="0.2">
      <c r="A3870" t="s">
        <v>6673</v>
      </c>
      <c r="B3870" t="s">
        <v>1331</v>
      </c>
      <c r="C3870" t="s">
        <v>2203</v>
      </c>
    </row>
    <row r="3871" spans="1:3" x14ac:dyDescent="0.2">
      <c r="A3871" t="s">
        <v>2240</v>
      </c>
      <c r="B3871" t="s">
        <v>1331</v>
      </c>
      <c r="C3871" t="s">
        <v>2203</v>
      </c>
    </row>
    <row r="3872" spans="1:3" x14ac:dyDescent="0.2">
      <c r="A3872" t="s">
        <v>2241</v>
      </c>
      <c r="B3872" t="s">
        <v>1331</v>
      </c>
      <c r="C3872" t="s">
        <v>2203</v>
      </c>
    </row>
    <row r="3873" spans="1:3" x14ac:dyDescent="0.2">
      <c r="A3873" t="s">
        <v>2242</v>
      </c>
      <c r="B3873" t="s">
        <v>1331</v>
      </c>
      <c r="C3873" t="s">
        <v>2203</v>
      </c>
    </row>
    <row r="3874" spans="1:3" x14ac:dyDescent="0.2">
      <c r="A3874" t="s">
        <v>2243</v>
      </c>
      <c r="B3874" t="s">
        <v>1331</v>
      </c>
      <c r="C3874" t="s">
        <v>2203</v>
      </c>
    </row>
    <row r="3875" spans="1:3" x14ac:dyDescent="0.2">
      <c r="A3875" t="s">
        <v>2244</v>
      </c>
      <c r="B3875" t="s">
        <v>1331</v>
      </c>
      <c r="C3875" t="s">
        <v>2203</v>
      </c>
    </row>
    <row r="3876" spans="1:3" x14ac:dyDescent="0.2">
      <c r="A3876" t="s">
        <v>5730</v>
      </c>
      <c r="B3876" t="s">
        <v>1331</v>
      </c>
      <c r="C3876" t="s">
        <v>2203</v>
      </c>
    </row>
    <row r="3877" spans="1:3" x14ac:dyDescent="0.2">
      <c r="A3877" t="s">
        <v>5231</v>
      </c>
      <c r="B3877" t="s">
        <v>1331</v>
      </c>
      <c r="C3877" t="s">
        <v>2203</v>
      </c>
    </row>
    <row r="3878" spans="1:3" x14ac:dyDescent="0.2">
      <c r="A3878" t="s">
        <v>2245</v>
      </c>
      <c r="B3878" t="s">
        <v>1331</v>
      </c>
      <c r="C3878" t="s">
        <v>2203</v>
      </c>
    </row>
    <row r="3879" spans="1:3" x14ac:dyDescent="0.2">
      <c r="A3879" t="s">
        <v>2246</v>
      </c>
      <c r="B3879" t="s">
        <v>1331</v>
      </c>
      <c r="C3879" t="s">
        <v>2203</v>
      </c>
    </row>
    <row r="3880" spans="1:3" x14ac:dyDescent="0.2">
      <c r="A3880" t="s">
        <v>2247</v>
      </c>
      <c r="B3880" t="s">
        <v>1331</v>
      </c>
      <c r="C3880" t="s">
        <v>2203</v>
      </c>
    </row>
    <row r="3881" spans="1:3" x14ac:dyDescent="0.2">
      <c r="A3881" t="s">
        <v>2248</v>
      </c>
      <c r="B3881" t="s">
        <v>1331</v>
      </c>
      <c r="C3881" t="s">
        <v>2203</v>
      </c>
    </row>
    <row r="3882" spans="1:3" x14ac:dyDescent="0.2">
      <c r="A3882" t="s">
        <v>2249</v>
      </c>
      <c r="B3882" t="s">
        <v>1331</v>
      </c>
      <c r="C3882" t="s">
        <v>2203</v>
      </c>
    </row>
    <row r="3883" spans="1:3" x14ac:dyDescent="0.2">
      <c r="A3883" t="s">
        <v>2250</v>
      </c>
      <c r="B3883" t="s">
        <v>1331</v>
      </c>
      <c r="C3883" t="s">
        <v>2203</v>
      </c>
    </row>
    <row r="3884" spans="1:3" x14ac:dyDescent="0.2">
      <c r="A3884" t="s">
        <v>2251</v>
      </c>
      <c r="B3884" t="s">
        <v>1331</v>
      </c>
      <c r="C3884" t="s">
        <v>2203</v>
      </c>
    </row>
    <row r="3885" spans="1:3" x14ac:dyDescent="0.2">
      <c r="A3885" t="s">
        <v>5089</v>
      </c>
      <c r="B3885" t="s">
        <v>1331</v>
      </c>
      <c r="C3885" t="s">
        <v>2203</v>
      </c>
    </row>
    <row r="3886" spans="1:3" x14ac:dyDescent="0.2">
      <c r="A3886" t="s">
        <v>5920</v>
      </c>
      <c r="B3886" t="s">
        <v>1331</v>
      </c>
      <c r="C3886" t="s">
        <v>2203</v>
      </c>
    </row>
    <row r="3887" spans="1:3" x14ac:dyDescent="0.2">
      <c r="A3887" t="s">
        <v>2252</v>
      </c>
      <c r="B3887" t="s">
        <v>1331</v>
      </c>
      <c r="C3887" t="s">
        <v>2203</v>
      </c>
    </row>
    <row r="3888" spans="1:3" x14ac:dyDescent="0.2">
      <c r="A3888" t="s">
        <v>5090</v>
      </c>
      <c r="B3888" t="s">
        <v>1331</v>
      </c>
      <c r="C3888" t="s">
        <v>2203</v>
      </c>
    </row>
    <row r="3889" spans="1:3" x14ac:dyDescent="0.2">
      <c r="A3889" t="s">
        <v>2253</v>
      </c>
      <c r="B3889" t="s">
        <v>1331</v>
      </c>
      <c r="C3889" t="s">
        <v>2203</v>
      </c>
    </row>
    <row r="3890" spans="1:3" x14ac:dyDescent="0.2">
      <c r="A3890" t="s">
        <v>2254</v>
      </c>
      <c r="B3890" t="s">
        <v>1331</v>
      </c>
      <c r="C3890" t="s">
        <v>2203</v>
      </c>
    </row>
    <row r="3891" spans="1:3" x14ac:dyDescent="0.2">
      <c r="A3891" t="s">
        <v>2255</v>
      </c>
      <c r="B3891" t="s">
        <v>1331</v>
      </c>
      <c r="C3891" t="s">
        <v>2203</v>
      </c>
    </row>
    <row r="3892" spans="1:3" x14ac:dyDescent="0.2">
      <c r="A3892" t="s">
        <v>2256</v>
      </c>
      <c r="B3892" t="s">
        <v>1331</v>
      </c>
      <c r="C3892" t="s">
        <v>2203</v>
      </c>
    </row>
    <row r="3893" spans="1:3" x14ac:dyDescent="0.2">
      <c r="A3893" t="s">
        <v>2257</v>
      </c>
      <c r="B3893" t="s">
        <v>1331</v>
      </c>
      <c r="C3893" t="s">
        <v>2203</v>
      </c>
    </row>
    <row r="3894" spans="1:3" x14ac:dyDescent="0.2">
      <c r="A3894" t="s">
        <v>5232</v>
      </c>
      <c r="B3894" t="s">
        <v>1331</v>
      </c>
      <c r="C3894" t="s">
        <v>2203</v>
      </c>
    </row>
    <row r="3895" spans="1:3" x14ac:dyDescent="0.2">
      <c r="A3895" t="s">
        <v>4957</v>
      </c>
      <c r="B3895" t="s">
        <v>1331</v>
      </c>
      <c r="C3895" t="s">
        <v>2203</v>
      </c>
    </row>
    <row r="3896" spans="1:3" x14ac:dyDescent="0.2">
      <c r="A3896" t="s">
        <v>2258</v>
      </c>
      <c r="B3896" t="s">
        <v>1331</v>
      </c>
      <c r="C3896" t="s">
        <v>2203</v>
      </c>
    </row>
    <row r="3897" spans="1:3" x14ac:dyDescent="0.2">
      <c r="A3897" t="s">
        <v>2259</v>
      </c>
      <c r="B3897" t="s">
        <v>1331</v>
      </c>
      <c r="C3897" t="s">
        <v>2203</v>
      </c>
    </row>
    <row r="3898" spans="1:3" x14ac:dyDescent="0.2">
      <c r="A3898" t="s">
        <v>2260</v>
      </c>
      <c r="B3898" t="s">
        <v>1331</v>
      </c>
      <c r="C3898" t="s">
        <v>2203</v>
      </c>
    </row>
    <row r="3899" spans="1:3" x14ac:dyDescent="0.2">
      <c r="A3899" t="s">
        <v>2261</v>
      </c>
      <c r="B3899" t="s">
        <v>1331</v>
      </c>
      <c r="C3899" t="s">
        <v>2203</v>
      </c>
    </row>
    <row r="3900" spans="1:3" x14ac:dyDescent="0.2">
      <c r="A3900" t="s">
        <v>2262</v>
      </c>
      <c r="B3900" t="s">
        <v>1331</v>
      </c>
      <c r="C3900" t="s">
        <v>2203</v>
      </c>
    </row>
    <row r="3901" spans="1:3" x14ac:dyDescent="0.2">
      <c r="A3901" t="s">
        <v>2263</v>
      </c>
      <c r="B3901" t="s">
        <v>1331</v>
      </c>
      <c r="C3901" t="s">
        <v>2203</v>
      </c>
    </row>
    <row r="3902" spans="1:3" x14ac:dyDescent="0.2">
      <c r="A3902" t="s">
        <v>5233</v>
      </c>
      <c r="B3902" t="s">
        <v>1331</v>
      </c>
      <c r="C3902" t="s">
        <v>2203</v>
      </c>
    </row>
    <row r="3903" spans="1:3" x14ac:dyDescent="0.2">
      <c r="A3903" t="s">
        <v>2264</v>
      </c>
      <c r="B3903" t="s">
        <v>1331</v>
      </c>
      <c r="C3903" t="s">
        <v>2203</v>
      </c>
    </row>
    <row r="3904" spans="1:3" x14ac:dyDescent="0.2">
      <c r="A3904" t="s">
        <v>2265</v>
      </c>
      <c r="B3904" t="s">
        <v>1331</v>
      </c>
      <c r="C3904" t="s">
        <v>2203</v>
      </c>
    </row>
    <row r="3905" spans="1:3" x14ac:dyDescent="0.2">
      <c r="A3905" t="s">
        <v>5613</v>
      </c>
      <c r="B3905" t="s">
        <v>1331</v>
      </c>
      <c r="C3905" t="s">
        <v>2203</v>
      </c>
    </row>
    <row r="3906" spans="1:3" x14ac:dyDescent="0.2">
      <c r="A3906" t="s">
        <v>2266</v>
      </c>
      <c r="B3906" t="s">
        <v>1331</v>
      </c>
      <c r="C3906" t="s">
        <v>2203</v>
      </c>
    </row>
    <row r="3907" spans="1:3" x14ac:dyDescent="0.2">
      <c r="A3907" t="s">
        <v>2267</v>
      </c>
      <c r="B3907" t="s">
        <v>1331</v>
      </c>
      <c r="C3907" t="s">
        <v>2203</v>
      </c>
    </row>
    <row r="3908" spans="1:3" x14ac:dyDescent="0.2">
      <c r="A3908" t="s">
        <v>2268</v>
      </c>
      <c r="B3908" t="s">
        <v>1331</v>
      </c>
      <c r="C3908" t="s">
        <v>2203</v>
      </c>
    </row>
    <row r="3909" spans="1:3" x14ac:dyDescent="0.2">
      <c r="A3909" t="s">
        <v>2269</v>
      </c>
      <c r="B3909" t="s">
        <v>1331</v>
      </c>
      <c r="C3909" t="s">
        <v>2203</v>
      </c>
    </row>
    <row r="3910" spans="1:3" x14ac:dyDescent="0.2">
      <c r="A3910" t="s">
        <v>2270</v>
      </c>
      <c r="B3910" t="s">
        <v>1331</v>
      </c>
      <c r="C3910" t="s">
        <v>2203</v>
      </c>
    </row>
    <row r="3911" spans="1:3" x14ac:dyDescent="0.2">
      <c r="A3911" t="s">
        <v>2271</v>
      </c>
      <c r="B3911" t="s">
        <v>1331</v>
      </c>
      <c r="C3911" t="s">
        <v>2203</v>
      </c>
    </row>
    <row r="3912" spans="1:3" x14ac:dyDescent="0.2">
      <c r="A3912" t="s">
        <v>2272</v>
      </c>
      <c r="B3912" t="s">
        <v>1331</v>
      </c>
      <c r="C3912" t="s">
        <v>2203</v>
      </c>
    </row>
    <row r="3913" spans="1:3" x14ac:dyDescent="0.2">
      <c r="A3913" t="s">
        <v>2273</v>
      </c>
      <c r="B3913" t="s">
        <v>1331</v>
      </c>
      <c r="C3913" t="s">
        <v>2203</v>
      </c>
    </row>
    <row r="3914" spans="1:3" x14ac:dyDescent="0.2">
      <c r="A3914" t="s">
        <v>2274</v>
      </c>
      <c r="B3914" t="s">
        <v>1331</v>
      </c>
      <c r="C3914" t="s">
        <v>2203</v>
      </c>
    </row>
    <row r="3915" spans="1:3" x14ac:dyDescent="0.2">
      <c r="A3915" t="s">
        <v>2275</v>
      </c>
      <c r="B3915" t="s">
        <v>1331</v>
      </c>
      <c r="C3915" t="s">
        <v>2203</v>
      </c>
    </row>
    <row r="3916" spans="1:3" x14ac:dyDescent="0.2">
      <c r="A3916" t="s">
        <v>2276</v>
      </c>
      <c r="B3916" t="s">
        <v>1331</v>
      </c>
      <c r="C3916" t="s">
        <v>2203</v>
      </c>
    </row>
    <row r="3917" spans="1:3" x14ac:dyDescent="0.2">
      <c r="A3917" t="s">
        <v>2277</v>
      </c>
      <c r="B3917" t="s">
        <v>1331</v>
      </c>
      <c r="C3917" t="s">
        <v>2203</v>
      </c>
    </row>
    <row r="3918" spans="1:3" x14ac:dyDescent="0.2">
      <c r="A3918" t="s">
        <v>5731</v>
      </c>
      <c r="B3918" t="s">
        <v>1331</v>
      </c>
      <c r="C3918" t="s">
        <v>2203</v>
      </c>
    </row>
    <row r="3919" spans="1:3" x14ac:dyDescent="0.2">
      <c r="A3919" t="s">
        <v>5234</v>
      </c>
      <c r="B3919" t="s">
        <v>1331</v>
      </c>
      <c r="C3919" t="s">
        <v>2203</v>
      </c>
    </row>
    <row r="3920" spans="1:3" x14ac:dyDescent="0.2">
      <c r="A3920" t="s">
        <v>2278</v>
      </c>
      <c r="B3920" t="s">
        <v>1331</v>
      </c>
      <c r="C3920" t="s">
        <v>2203</v>
      </c>
    </row>
    <row r="3921" spans="1:3" x14ac:dyDescent="0.2">
      <c r="A3921" t="s">
        <v>2279</v>
      </c>
      <c r="B3921" t="s">
        <v>1331</v>
      </c>
      <c r="C3921" t="s">
        <v>2203</v>
      </c>
    </row>
    <row r="3922" spans="1:3" x14ac:dyDescent="0.2">
      <c r="A3922" t="s">
        <v>2280</v>
      </c>
      <c r="B3922" t="s">
        <v>1331</v>
      </c>
      <c r="C3922" t="s">
        <v>2203</v>
      </c>
    </row>
    <row r="3923" spans="1:3" x14ac:dyDescent="0.2">
      <c r="A3923" t="s">
        <v>2281</v>
      </c>
      <c r="B3923" t="s">
        <v>1331</v>
      </c>
      <c r="C3923" t="s">
        <v>2203</v>
      </c>
    </row>
    <row r="3924" spans="1:3" x14ac:dyDescent="0.2">
      <c r="A3924" t="s">
        <v>2282</v>
      </c>
      <c r="B3924" t="s">
        <v>1331</v>
      </c>
      <c r="C3924" t="s">
        <v>2203</v>
      </c>
    </row>
    <row r="3925" spans="1:3" x14ac:dyDescent="0.2">
      <c r="A3925" t="s">
        <v>2283</v>
      </c>
      <c r="B3925" t="s">
        <v>1331</v>
      </c>
      <c r="C3925" t="s">
        <v>2203</v>
      </c>
    </row>
    <row r="3926" spans="1:3" x14ac:dyDescent="0.2">
      <c r="A3926" t="s">
        <v>2284</v>
      </c>
      <c r="B3926" t="s">
        <v>1331</v>
      </c>
      <c r="C3926" t="s">
        <v>2203</v>
      </c>
    </row>
    <row r="3927" spans="1:3" x14ac:dyDescent="0.2">
      <c r="A3927" t="s">
        <v>5235</v>
      </c>
      <c r="B3927" t="s">
        <v>1331</v>
      </c>
      <c r="C3927" t="s">
        <v>2203</v>
      </c>
    </row>
    <row r="3928" spans="1:3" x14ac:dyDescent="0.2">
      <c r="A3928" t="s">
        <v>2285</v>
      </c>
      <c r="B3928" t="s">
        <v>1331</v>
      </c>
      <c r="C3928" t="s">
        <v>2203</v>
      </c>
    </row>
    <row r="3929" spans="1:3" x14ac:dyDescent="0.2">
      <c r="A3929" t="s">
        <v>2286</v>
      </c>
      <c r="B3929" t="s">
        <v>1331</v>
      </c>
      <c r="C3929" t="s">
        <v>2203</v>
      </c>
    </row>
    <row r="3930" spans="1:3" x14ac:dyDescent="0.2">
      <c r="A3930" t="s">
        <v>2287</v>
      </c>
      <c r="B3930" t="s">
        <v>1331</v>
      </c>
      <c r="C3930" t="s">
        <v>2203</v>
      </c>
    </row>
    <row r="3931" spans="1:3" x14ac:dyDescent="0.2">
      <c r="A3931" t="s">
        <v>5091</v>
      </c>
      <c r="B3931" t="s">
        <v>1331</v>
      </c>
      <c r="C3931" t="s">
        <v>2203</v>
      </c>
    </row>
    <row r="3932" spans="1:3" x14ac:dyDescent="0.2">
      <c r="A3932" t="s">
        <v>2288</v>
      </c>
      <c r="B3932" t="s">
        <v>1331</v>
      </c>
      <c r="C3932" t="s">
        <v>2203</v>
      </c>
    </row>
    <row r="3933" spans="1:3" x14ac:dyDescent="0.2">
      <c r="A3933" t="s">
        <v>2289</v>
      </c>
      <c r="B3933" t="s">
        <v>1331</v>
      </c>
      <c r="C3933" t="s">
        <v>2203</v>
      </c>
    </row>
    <row r="3934" spans="1:3" x14ac:dyDescent="0.2">
      <c r="A3934" t="s">
        <v>2290</v>
      </c>
      <c r="B3934" t="s">
        <v>1331</v>
      </c>
      <c r="C3934" t="s">
        <v>2203</v>
      </c>
    </row>
    <row r="3935" spans="1:3" x14ac:dyDescent="0.2">
      <c r="A3935" t="s">
        <v>2291</v>
      </c>
      <c r="B3935" t="s">
        <v>1331</v>
      </c>
      <c r="C3935" t="s">
        <v>2203</v>
      </c>
    </row>
    <row r="3936" spans="1:3" x14ac:dyDescent="0.2">
      <c r="A3936" t="s">
        <v>2292</v>
      </c>
      <c r="B3936" t="s">
        <v>1331</v>
      </c>
      <c r="C3936" t="s">
        <v>2203</v>
      </c>
    </row>
    <row r="3937" spans="1:3" x14ac:dyDescent="0.2">
      <c r="A3937" t="s">
        <v>4958</v>
      </c>
      <c r="B3937" t="s">
        <v>1331</v>
      </c>
      <c r="C3937" t="s">
        <v>2203</v>
      </c>
    </row>
    <row r="3938" spans="1:3" x14ac:dyDescent="0.2">
      <c r="A3938" t="s">
        <v>5236</v>
      </c>
      <c r="B3938" t="s">
        <v>1331</v>
      </c>
      <c r="C3938" t="s">
        <v>2203</v>
      </c>
    </row>
    <row r="3939" spans="1:3" x14ac:dyDescent="0.2">
      <c r="A3939" t="s">
        <v>2293</v>
      </c>
      <c r="B3939" t="s">
        <v>1331</v>
      </c>
      <c r="C3939" t="s">
        <v>2203</v>
      </c>
    </row>
    <row r="3940" spans="1:3" x14ac:dyDescent="0.2">
      <c r="A3940" t="s">
        <v>4600</v>
      </c>
      <c r="B3940" t="s">
        <v>1331</v>
      </c>
      <c r="C3940" t="s">
        <v>2203</v>
      </c>
    </row>
    <row r="3941" spans="1:3" x14ac:dyDescent="0.2">
      <c r="A3941" t="s">
        <v>2294</v>
      </c>
      <c r="B3941" t="s">
        <v>1331</v>
      </c>
      <c r="C3941" t="s">
        <v>2203</v>
      </c>
    </row>
    <row r="3942" spans="1:3" x14ac:dyDescent="0.2">
      <c r="A3942" t="s">
        <v>4959</v>
      </c>
      <c r="B3942" t="s">
        <v>1331</v>
      </c>
      <c r="C3942" t="s">
        <v>2203</v>
      </c>
    </row>
    <row r="3943" spans="1:3" x14ac:dyDescent="0.2">
      <c r="A3943" t="s">
        <v>2295</v>
      </c>
      <c r="B3943" t="s">
        <v>1331</v>
      </c>
      <c r="C3943" t="s">
        <v>2203</v>
      </c>
    </row>
    <row r="3944" spans="1:3" x14ac:dyDescent="0.2">
      <c r="A3944" t="s">
        <v>2296</v>
      </c>
      <c r="B3944" t="s">
        <v>1331</v>
      </c>
      <c r="C3944" t="s">
        <v>2203</v>
      </c>
    </row>
    <row r="3945" spans="1:3" x14ac:dyDescent="0.2">
      <c r="A3945" t="s">
        <v>2297</v>
      </c>
      <c r="B3945" t="s">
        <v>1331</v>
      </c>
      <c r="C3945" t="s">
        <v>2203</v>
      </c>
    </row>
    <row r="3946" spans="1:3" x14ac:dyDescent="0.2">
      <c r="A3946" t="s">
        <v>2298</v>
      </c>
      <c r="B3946" t="s">
        <v>1331</v>
      </c>
      <c r="C3946" t="s">
        <v>2203</v>
      </c>
    </row>
    <row r="3947" spans="1:3" x14ac:dyDescent="0.2">
      <c r="A3947" t="s">
        <v>2299</v>
      </c>
      <c r="B3947" t="s">
        <v>1331</v>
      </c>
      <c r="C3947" t="s">
        <v>2203</v>
      </c>
    </row>
    <row r="3948" spans="1:3" x14ac:dyDescent="0.2">
      <c r="A3948" t="s">
        <v>5092</v>
      </c>
      <c r="B3948" t="s">
        <v>1331</v>
      </c>
      <c r="C3948" t="s">
        <v>2203</v>
      </c>
    </row>
    <row r="3949" spans="1:3" x14ac:dyDescent="0.2">
      <c r="A3949" t="s">
        <v>5614</v>
      </c>
      <c r="B3949" t="s">
        <v>1331</v>
      </c>
      <c r="C3949" t="s">
        <v>2203</v>
      </c>
    </row>
    <row r="3950" spans="1:3" x14ac:dyDescent="0.2">
      <c r="A3950" t="s">
        <v>2300</v>
      </c>
      <c r="B3950" t="s">
        <v>1331</v>
      </c>
      <c r="C3950" t="s">
        <v>2203</v>
      </c>
    </row>
    <row r="3951" spans="1:3" x14ac:dyDescent="0.2">
      <c r="A3951" t="s">
        <v>2301</v>
      </c>
      <c r="B3951" t="s">
        <v>1331</v>
      </c>
      <c r="C3951" t="s">
        <v>2203</v>
      </c>
    </row>
    <row r="3952" spans="1:3" x14ac:dyDescent="0.2">
      <c r="A3952" t="s">
        <v>4601</v>
      </c>
      <c r="B3952" t="s">
        <v>1331</v>
      </c>
      <c r="C3952" t="s">
        <v>2203</v>
      </c>
    </row>
    <row r="3953" spans="1:3" x14ac:dyDescent="0.2">
      <c r="A3953" t="s">
        <v>2302</v>
      </c>
      <c r="B3953" t="s">
        <v>1331</v>
      </c>
      <c r="C3953" t="s">
        <v>2203</v>
      </c>
    </row>
    <row r="3954" spans="1:3" x14ac:dyDescent="0.2">
      <c r="A3954" t="s">
        <v>2303</v>
      </c>
      <c r="B3954" t="s">
        <v>1331</v>
      </c>
      <c r="C3954" t="s">
        <v>2203</v>
      </c>
    </row>
    <row r="3955" spans="1:3" x14ac:dyDescent="0.2">
      <c r="A3955" t="s">
        <v>5237</v>
      </c>
      <c r="B3955" t="s">
        <v>1331</v>
      </c>
      <c r="C3955" t="s">
        <v>2203</v>
      </c>
    </row>
    <row r="3956" spans="1:3" x14ac:dyDescent="0.2">
      <c r="A3956" t="s">
        <v>2304</v>
      </c>
      <c r="B3956" t="s">
        <v>1331</v>
      </c>
      <c r="C3956" t="s">
        <v>2203</v>
      </c>
    </row>
    <row r="3957" spans="1:3" x14ac:dyDescent="0.2">
      <c r="A3957" t="s">
        <v>5615</v>
      </c>
      <c r="B3957" t="s">
        <v>1331</v>
      </c>
      <c r="C3957" t="s">
        <v>2203</v>
      </c>
    </row>
    <row r="3958" spans="1:3" x14ac:dyDescent="0.2">
      <c r="A3958" t="s">
        <v>2305</v>
      </c>
      <c r="B3958" t="s">
        <v>1331</v>
      </c>
      <c r="C3958" t="s">
        <v>2203</v>
      </c>
    </row>
    <row r="3959" spans="1:3" x14ac:dyDescent="0.2">
      <c r="A3959" t="s">
        <v>2306</v>
      </c>
      <c r="B3959" t="s">
        <v>1331</v>
      </c>
      <c r="C3959" t="s">
        <v>2203</v>
      </c>
    </row>
    <row r="3960" spans="1:3" x14ac:dyDescent="0.2">
      <c r="A3960" t="s">
        <v>2307</v>
      </c>
      <c r="B3960" t="s">
        <v>1331</v>
      </c>
      <c r="C3960" t="s">
        <v>2203</v>
      </c>
    </row>
    <row r="3961" spans="1:3" x14ac:dyDescent="0.2">
      <c r="A3961" t="s">
        <v>2308</v>
      </c>
      <c r="B3961" t="s">
        <v>1331</v>
      </c>
      <c r="C3961" t="s">
        <v>2203</v>
      </c>
    </row>
    <row r="3962" spans="1:3" x14ac:dyDescent="0.2">
      <c r="A3962" t="s">
        <v>2309</v>
      </c>
      <c r="B3962" t="s">
        <v>1331</v>
      </c>
      <c r="C3962" t="s">
        <v>2203</v>
      </c>
    </row>
    <row r="3963" spans="1:3" x14ac:dyDescent="0.2">
      <c r="A3963" t="s">
        <v>2310</v>
      </c>
      <c r="B3963" t="s">
        <v>1331</v>
      </c>
      <c r="C3963" t="s">
        <v>2203</v>
      </c>
    </row>
    <row r="3964" spans="1:3" x14ac:dyDescent="0.2">
      <c r="A3964" t="s">
        <v>4727</v>
      </c>
      <c r="B3964" t="s">
        <v>1331</v>
      </c>
      <c r="C3964" t="s">
        <v>2203</v>
      </c>
    </row>
    <row r="3965" spans="1:3" x14ac:dyDescent="0.2">
      <c r="A3965" t="s">
        <v>2311</v>
      </c>
      <c r="B3965" t="s">
        <v>1331</v>
      </c>
      <c r="C3965" t="s">
        <v>2203</v>
      </c>
    </row>
    <row r="3966" spans="1:3" x14ac:dyDescent="0.2">
      <c r="A3966" t="s">
        <v>5093</v>
      </c>
      <c r="B3966" t="s">
        <v>1331</v>
      </c>
      <c r="C3966" t="s">
        <v>2203</v>
      </c>
    </row>
    <row r="3967" spans="1:3" x14ac:dyDescent="0.2">
      <c r="A3967" t="s">
        <v>2312</v>
      </c>
      <c r="B3967" t="s">
        <v>1331</v>
      </c>
      <c r="C3967" t="s">
        <v>2203</v>
      </c>
    </row>
    <row r="3968" spans="1:3" x14ac:dyDescent="0.2">
      <c r="A3968" t="s">
        <v>2313</v>
      </c>
      <c r="B3968" t="s">
        <v>1331</v>
      </c>
      <c r="C3968" t="s">
        <v>2203</v>
      </c>
    </row>
    <row r="3969" spans="1:3" x14ac:dyDescent="0.2">
      <c r="A3969" t="s">
        <v>2314</v>
      </c>
      <c r="B3969" t="s">
        <v>1331</v>
      </c>
      <c r="C3969" t="s">
        <v>2203</v>
      </c>
    </row>
    <row r="3970" spans="1:3" x14ac:dyDescent="0.2">
      <c r="A3970" t="s">
        <v>4728</v>
      </c>
      <c r="B3970" t="s">
        <v>1331</v>
      </c>
      <c r="C3970" t="s">
        <v>2203</v>
      </c>
    </row>
    <row r="3971" spans="1:3" x14ac:dyDescent="0.2">
      <c r="A3971" t="s">
        <v>2315</v>
      </c>
      <c r="B3971" t="s">
        <v>1331</v>
      </c>
      <c r="C3971" t="s">
        <v>2203</v>
      </c>
    </row>
    <row r="3972" spans="1:3" x14ac:dyDescent="0.2">
      <c r="A3972" t="s">
        <v>2316</v>
      </c>
      <c r="B3972" t="s">
        <v>1331</v>
      </c>
      <c r="C3972" t="s">
        <v>2203</v>
      </c>
    </row>
    <row r="3973" spans="1:3" x14ac:dyDescent="0.2">
      <c r="A3973" t="s">
        <v>2317</v>
      </c>
      <c r="B3973" t="s">
        <v>1331</v>
      </c>
      <c r="C3973" t="s">
        <v>2203</v>
      </c>
    </row>
    <row r="3974" spans="1:3" x14ac:dyDescent="0.2">
      <c r="A3974" t="s">
        <v>5616</v>
      </c>
      <c r="B3974" t="s">
        <v>1331</v>
      </c>
      <c r="C3974" t="s">
        <v>2203</v>
      </c>
    </row>
    <row r="3975" spans="1:3" x14ac:dyDescent="0.2">
      <c r="A3975" t="s">
        <v>2318</v>
      </c>
      <c r="B3975" t="s">
        <v>1331</v>
      </c>
      <c r="C3975" t="s">
        <v>2203</v>
      </c>
    </row>
    <row r="3976" spans="1:3" x14ac:dyDescent="0.2">
      <c r="A3976" t="s">
        <v>2319</v>
      </c>
      <c r="B3976" t="s">
        <v>1331</v>
      </c>
      <c r="C3976" t="s">
        <v>2203</v>
      </c>
    </row>
    <row r="3977" spans="1:3" x14ac:dyDescent="0.2">
      <c r="A3977" t="s">
        <v>6674</v>
      </c>
      <c r="B3977" t="s">
        <v>1331</v>
      </c>
      <c r="C3977" t="s">
        <v>2203</v>
      </c>
    </row>
    <row r="3978" spans="1:3" x14ac:dyDescent="0.2">
      <c r="A3978" t="s">
        <v>4602</v>
      </c>
      <c r="B3978" t="s">
        <v>1331</v>
      </c>
      <c r="C3978" t="s">
        <v>2203</v>
      </c>
    </row>
    <row r="3979" spans="1:3" x14ac:dyDescent="0.2">
      <c r="A3979" t="s">
        <v>5094</v>
      </c>
      <c r="B3979" t="s">
        <v>1331</v>
      </c>
      <c r="C3979" t="s">
        <v>2203</v>
      </c>
    </row>
    <row r="3980" spans="1:3" x14ac:dyDescent="0.2">
      <c r="A3980" t="s">
        <v>2320</v>
      </c>
      <c r="B3980" t="s">
        <v>1331</v>
      </c>
      <c r="C3980" t="s">
        <v>2203</v>
      </c>
    </row>
    <row r="3981" spans="1:3" x14ac:dyDescent="0.2">
      <c r="A3981" t="s">
        <v>2321</v>
      </c>
      <c r="B3981" t="s">
        <v>1331</v>
      </c>
      <c r="C3981" t="s">
        <v>2203</v>
      </c>
    </row>
    <row r="3982" spans="1:3" x14ac:dyDescent="0.2">
      <c r="A3982" t="s">
        <v>4960</v>
      </c>
      <c r="B3982" t="s">
        <v>1331</v>
      </c>
      <c r="C3982" t="s">
        <v>2203</v>
      </c>
    </row>
    <row r="3983" spans="1:3" x14ac:dyDescent="0.2">
      <c r="A3983" t="s">
        <v>4961</v>
      </c>
      <c r="B3983" t="s">
        <v>1331</v>
      </c>
      <c r="C3983" t="s">
        <v>2203</v>
      </c>
    </row>
    <row r="3984" spans="1:3" x14ac:dyDescent="0.2">
      <c r="A3984" t="s">
        <v>2322</v>
      </c>
      <c r="B3984" t="s">
        <v>1331</v>
      </c>
      <c r="C3984" t="s">
        <v>2203</v>
      </c>
    </row>
    <row r="3985" spans="1:3" x14ac:dyDescent="0.2">
      <c r="A3985" t="s">
        <v>5238</v>
      </c>
      <c r="B3985" t="s">
        <v>1331</v>
      </c>
      <c r="C3985" t="s">
        <v>2203</v>
      </c>
    </row>
    <row r="3986" spans="1:3" x14ac:dyDescent="0.2">
      <c r="A3986" t="s">
        <v>2323</v>
      </c>
      <c r="B3986" t="s">
        <v>1331</v>
      </c>
      <c r="C3986" t="s">
        <v>2203</v>
      </c>
    </row>
    <row r="3987" spans="1:3" x14ac:dyDescent="0.2">
      <c r="A3987" t="s">
        <v>2324</v>
      </c>
      <c r="B3987" t="s">
        <v>1331</v>
      </c>
      <c r="C3987" t="s">
        <v>2203</v>
      </c>
    </row>
    <row r="3988" spans="1:3" x14ac:dyDescent="0.2">
      <c r="A3988" t="s">
        <v>2325</v>
      </c>
      <c r="B3988" t="s">
        <v>1331</v>
      </c>
      <c r="C3988" t="s">
        <v>2203</v>
      </c>
    </row>
    <row r="3989" spans="1:3" x14ac:dyDescent="0.2">
      <c r="A3989" t="s">
        <v>2326</v>
      </c>
      <c r="B3989" t="s">
        <v>1331</v>
      </c>
      <c r="C3989" t="s">
        <v>2203</v>
      </c>
    </row>
    <row r="3990" spans="1:3" x14ac:dyDescent="0.2">
      <c r="A3990" t="s">
        <v>4962</v>
      </c>
      <c r="B3990" t="s">
        <v>1331</v>
      </c>
      <c r="C3990" t="s">
        <v>2203</v>
      </c>
    </row>
    <row r="3991" spans="1:3" x14ac:dyDescent="0.2">
      <c r="A3991" t="s">
        <v>5095</v>
      </c>
      <c r="B3991" t="s">
        <v>1331</v>
      </c>
      <c r="C3991" t="s">
        <v>2203</v>
      </c>
    </row>
    <row r="3992" spans="1:3" x14ac:dyDescent="0.2">
      <c r="A3992" t="s">
        <v>4603</v>
      </c>
      <c r="B3992" t="s">
        <v>1331</v>
      </c>
      <c r="C3992" t="s">
        <v>2203</v>
      </c>
    </row>
    <row r="3993" spans="1:3" x14ac:dyDescent="0.2">
      <c r="A3993" t="s">
        <v>2327</v>
      </c>
      <c r="B3993" t="s">
        <v>1331</v>
      </c>
      <c r="C3993" t="s">
        <v>2203</v>
      </c>
    </row>
    <row r="3994" spans="1:3" x14ac:dyDescent="0.2">
      <c r="A3994" t="s">
        <v>4963</v>
      </c>
      <c r="B3994" t="s">
        <v>1331</v>
      </c>
      <c r="C3994" t="s">
        <v>2203</v>
      </c>
    </row>
    <row r="3995" spans="1:3" x14ac:dyDescent="0.2">
      <c r="A3995" t="s">
        <v>2328</v>
      </c>
      <c r="B3995" t="s">
        <v>1331</v>
      </c>
      <c r="C3995" t="s">
        <v>2203</v>
      </c>
    </row>
    <row r="3996" spans="1:3" x14ac:dyDescent="0.2">
      <c r="A3996" t="s">
        <v>4964</v>
      </c>
      <c r="B3996" t="s">
        <v>1331</v>
      </c>
      <c r="C3996" t="s">
        <v>2203</v>
      </c>
    </row>
    <row r="3997" spans="1:3" x14ac:dyDescent="0.2">
      <c r="A3997" t="s">
        <v>2329</v>
      </c>
      <c r="B3997" t="s">
        <v>1331</v>
      </c>
      <c r="C3997" t="s">
        <v>2203</v>
      </c>
    </row>
    <row r="3998" spans="1:3" x14ac:dyDescent="0.2">
      <c r="A3998" t="s">
        <v>2330</v>
      </c>
      <c r="B3998" t="s">
        <v>1331</v>
      </c>
      <c r="C3998" t="s">
        <v>2203</v>
      </c>
    </row>
    <row r="3999" spans="1:3" x14ac:dyDescent="0.2">
      <c r="A3999" t="s">
        <v>5239</v>
      </c>
      <c r="B3999" t="s">
        <v>1331</v>
      </c>
      <c r="C3999" t="s">
        <v>2203</v>
      </c>
    </row>
    <row r="4000" spans="1:3" x14ac:dyDescent="0.2">
      <c r="A4000" t="s">
        <v>2331</v>
      </c>
      <c r="B4000" t="s">
        <v>1331</v>
      </c>
      <c r="C4000" t="s">
        <v>2203</v>
      </c>
    </row>
    <row r="4001" spans="1:3" x14ac:dyDescent="0.2">
      <c r="A4001" t="s">
        <v>2332</v>
      </c>
      <c r="B4001" t="s">
        <v>1331</v>
      </c>
      <c r="C4001" t="s">
        <v>2203</v>
      </c>
    </row>
    <row r="4002" spans="1:3" x14ac:dyDescent="0.2">
      <c r="A4002" t="s">
        <v>2333</v>
      </c>
      <c r="B4002" t="s">
        <v>1331</v>
      </c>
      <c r="C4002" t="s">
        <v>2203</v>
      </c>
    </row>
    <row r="4003" spans="1:3" x14ac:dyDescent="0.2">
      <c r="A4003" t="s">
        <v>2334</v>
      </c>
      <c r="B4003" t="s">
        <v>1331</v>
      </c>
      <c r="C4003" t="s">
        <v>2203</v>
      </c>
    </row>
    <row r="4004" spans="1:3" x14ac:dyDescent="0.2">
      <c r="A4004" t="s">
        <v>5096</v>
      </c>
      <c r="B4004" t="s">
        <v>1331</v>
      </c>
      <c r="C4004" t="s">
        <v>2203</v>
      </c>
    </row>
    <row r="4005" spans="1:3" x14ac:dyDescent="0.2">
      <c r="A4005" t="s">
        <v>4965</v>
      </c>
      <c r="B4005" t="s">
        <v>1331</v>
      </c>
      <c r="C4005" t="s">
        <v>2203</v>
      </c>
    </row>
    <row r="4006" spans="1:3" x14ac:dyDescent="0.2">
      <c r="A4006" t="s">
        <v>2335</v>
      </c>
      <c r="B4006" t="s">
        <v>1331</v>
      </c>
      <c r="C4006" t="s">
        <v>2203</v>
      </c>
    </row>
    <row r="4007" spans="1:3" x14ac:dyDescent="0.2">
      <c r="A4007" t="s">
        <v>2336</v>
      </c>
      <c r="B4007" t="s">
        <v>1331</v>
      </c>
      <c r="C4007" t="s">
        <v>2203</v>
      </c>
    </row>
    <row r="4008" spans="1:3" x14ac:dyDescent="0.2">
      <c r="A4008" t="s">
        <v>2337</v>
      </c>
      <c r="B4008" t="s">
        <v>1331</v>
      </c>
      <c r="C4008" t="s">
        <v>2203</v>
      </c>
    </row>
    <row r="4009" spans="1:3" x14ac:dyDescent="0.2">
      <c r="A4009" t="s">
        <v>2338</v>
      </c>
      <c r="B4009" t="s">
        <v>1331</v>
      </c>
      <c r="C4009" t="s">
        <v>2203</v>
      </c>
    </row>
    <row r="4010" spans="1:3" x14ac:dyDescent="0.2">
      <c r="A4010" t="s">
        <v>4966</v>
      </c>
      <c r="B4010" t="s">
        <v>1331</v>
      </c>
      <c r="C4010" t="s">
        <v>2203</v>
      </c>
    </row>
    <row r="4011" spans="1:3" x14ac:dyDescent="0.2">
      <c r="A4011" t="s">
        <v>2339</v>
      </c>
      <c r="B4011" t="s">
        <v>1331</v>
      </c>
      <c r="C4011" t="s">
        <v>2203</v>
      </c>
    </row>
    <row r="4012" spans="1:3" x14ac:dyDescent="0.2">
      <c r="A4012" t="s">
        <v>2340</v>
      </c>
      <c r="B4012" t="s">
        <v>1331</v>
      </c>
      <c r="C4012" t="s">
        <v>2203</v>
      </c>
    </row>
    <row r="4013" spans="1:3" x14ac:dyDescent="0.2">
      <c r="A4013" t="s">
        <v>2341</v>
      </c>
      <c r="B4013" t="s">
        <v>1331</v>
      </c>
      <c r="C4013" t="s">
        <v>2203</v>
      </c>
    </row>
    <row r="4014" spans="1:3" x14ac:dyDescent="0.2">
      <c r="A4014" t="s">
        <v>2342</v>
      </c>
      <c r="B4014" t="s">
        <v>1331</v>
      </c>
      <c r="C4014" t="s">
        <v>2203</v>
      </c>
    </row>
    <row r="4015" spans="1:3" x14ac:dyDescent="0.2">
      <c r="A4015" t="s">
        <v>2343</v>
      </c>
      <c r="B4015" t="s">
        <v>1331</v>
      </c>
      <c r="C4015" t="s">
        <v>2203</v>
      </c>
    </row>
    <row r="4016" spans="1:3" x14ac:dyDescent="0.2">
      <c r="A4016" t="s">
        <v>2344</v>
      </c>
      <c r="B4016" t="s">
        <v>1331</v>
      </c>
      <c r="C4016" t="s">
        <v>2203</v>
      </c>
    </row>
    <row r="4017" spans="1:3" x14ac:dyDescent="0.2">
      <c r="A4017" t="s">
        <v>2345</v>
      </c>
      <c r="B4017" t="s">
        <v>1331</v>
      </c>
      <c r="C4017" t="s">
        <v>2203</v>
      </c>
    </row>
    <row r="4018" spans="1:3" x14ac:dyDescent="0.2">
      <c r="A4018" t="s">
        <v>2346</v>
      </c>
      <c r="B4018" t="s">
        <v>1331</v>
      </c>
      <c r="C4018" t="s">
        <v>2203</v>
      </c>
    </row>
    <row r="4019" spans="1:3" x14ac:dyDescent="0.2">
      <c r="A4019" t="s">
        <v>4604</v>
      </c>
      <c r="B4019" t="s">
        <v>1331</v>
      </c>
      <c r="C4019" t="s">
        <v>2203</v>
      </c>
    </row>
    <row r="4020" spans="1:3" x14ac:dyDescent="0.2">
      <c r="A4020" t="s">
        <v>2347</v>
      </c>
      <c r="B4020" t="s">
        <v>1331</v>
      </c>
      <c r="C4020" t="s">
        <v>2203</v>
      </c>
    </row>
    <row r="4021" spans="1:3" x14ac:dyDescent="0.2">
      <c r="A4021" t="s">
        <v>2348</v>
      </c>
      <c r="B4021" t="s">
        <v>1331</v>
      </c>
      <c r="C4021" t="s">
        <v>2203</v>
      </c>
    </row>
    <row r="4022" spans="1:3" x14ac:dyDescent="0.2">
      <c r="A4022" t="s">
        <v>2349</v>
      </c>
      <c r="B4022" t="s">
        <v>1331</v>
      </c>
      <c r="C4022" t="s">
        <v>2203</v>
      </c>
    </row>
    <row r="4023" spans="1:3" x14ac:dyDescent="0.2">
      <c r="A4023" t="s">
        <v>2350</v>
      </c>
      <c r="B4023" t="s">
        <v>1331</v>
      </c>
      <c r="C4023" t="s">
        <v>2203</v>
      </c>
    </row>
    <row r="4024" spans="1:3" x14ac:dyDescent="0.2">
      <c r="A4024" t="s">
        <v>2351</v>
      </c>
      <c r="B4024" t="s">
        <v>1331</v>
      </c>
      <c r="C4024" t="s">
        <v>2203</v>
      </c>
    </row>
    <row r="4025" spans="1:3" x14ac:dyDescent="0.2">
      <c r="A4025" t="s">
        <v>2352</v>
      </c>
      <c r="B4025" t="s">
        <v>1331</v>
      </c>
      <c r="C4025" t="s">
        <v>2203</v>
      </c>
    </row>
    <row r="4026" spans="1:3" x14ac:dyDescent="0.2">
      <c r="A4026" t="s">
        <v>2353</v>
      </c>
      <c r="B4026" t="s">
        <v>1331</v>
      </c>
      <c r="C4026" t="s">
        <v>2203</v>
      </c>
    </row>
    <row r="4027" spans="1:3" x14ac:dyDescent="0.2">
      <c r="A4027" t="s">
        <v>2354</v>
      </c>
      <c r="B4027" t="s">
        <v>1331</v>
      </c>
      <c r="C4027" t="s">
        <v>2203</v>
      </c>
    </row>
    <row r="4028" spans="1:3" x14ac:dyDescent="0.2">
      <c r="A4028" t="s">
        <v>2355</v>
      </c>
      <c r="B4028" t="s">
        <v>1331</v>
      </c>
      <c r="C4028" t="s">
        <v>2203</v>
      </c>
    </row>
    <row r="4029" spans="1:3" x14ac:dyDescent="0.2">
      <c r="A4029" t="s">
        <v>2356</v>
      </c>
      <c r="B4029" t="s">
        <v>1331</v>
      </c>
      <c r="C4029" t="s">
        <v>2203</v>
      </c>
    </row>
    <row r="4030" spans="1:3" x14ac:dyDescent="0.2">
      <c r="A4030" t="s">
        <v>5240</v>
      </c>
      <c r="B4030" t="s">
        <v>1331</v>
      </c>
      <c r="C4030" t="s">
        <v>2203</v>
      </c>
    </row>
    <row r="4031" spans="1:3" x14ac:dyDescent="0.2">
      <c r="A4031" t="s">
        <v>2357</v>
      </c>
      <c r="B4031" t="s">
        <v>1331</v>
      </c>
      <c r="C4031" t="s">
        <v>2203</v>
      </c>
    </row>
    <row r="4032" spans="1:3" x14ac:dyDescent="0.2">
      <c r="A4032" t="s">
        <v>4605</v>
      </c>
      <c r="B4032" t="s">
        <v>1331</v>
      </c>
      <c r="C4032" t="s">
        <v>2203</v>
      </c>
    </row>
    <row r="4033" spans="1:3" x14ac:dyDescent="0.2">
      <c r="A4033" t="s">
        <v>2358</v>
      </c>
      <c r="B4033" t="s">
        <v>1331</v>
      </c>
      <c r="C4033" t="s">
        <v>2203</v>
      </c>
    </row>
    <row r="4034" spans="1:3" x14ac:dyDescent="0.2">
      <c r="A4034" t="s">
        <v>2359</v>
      </c>
      <c r="B4034" t="s">
        <v>1331</v>
      </c>
      <c r="C4034" t="s">
        <v>2203</v>
      </c>
    </row>
    <row r="4035" spans="1:3" x14ac:dyDescent="0.2">
      <c r="A4035" t="s">
        <v>2360</v>
      </c>
      <c r="B4035" t="s">
        <v>1331</v>
      </c>
      <c r="C4035" t="s">
        <v>2203</v>
      </c>
    </row>
    <row r="4036" spans="1:3" x14ac:dyDescent="0.2">
      <c r="A4036" t="s">
        <v>5921</v>
      </c>
      <c r="B4036" t="s">
        <v>1331</v>
      </c>
      <c r="C4036" t="s">
        <v>2203</v>
      </c>
    </row>
    <row r="4037" spans="1:3" x14ac:dyDescent="0.2">
      <c r="A4037" t="s">
        <v>4729</v>
      </c>
      <c r="B4037" t="s">
        <v>1331</v>
      </c>
      <c r="C4037" t="s">
        <v>2203</v>
      </c>
    </row>
    <row r="4038" spans="1:3" x14ac:dyDescent="0.2">
      <c r="A4038" t="s">
        <v>2361</v>
      </c>
      <c r="B4038" t="s">
        <v>1331</v>
      </c>
      <c r="C4038" t="s">
        <v>2203</v>
      </c>
    </row>
    <row r="4039" spans="1:3" x14ac:dyDescent="0.2">
      <c r="A4039" t="s">
        <v>2362</v>
      </c>
      <c r="B4039" t="s">
        <v>1331</v>
      </c>
      <c r="C4039" t="s">
        <v>2203</v>
      </c>
    </row>
    <row r="4040" spans="1:3" x14ac:dyDescent="0.2">
      <c r="A4040" t="s">
        <v>2363</v>
      </c>
      <c r="B4040" t="s">
        <v>1331</v>
      </c>
      <c r="C4040" t="s">
        <v>2203</v>
      </c>
    </row>
    <row r="4041" spans="1:3" x14ac:dyDescent="0.2">
      <c r="A4041" t="s">
        <v>2364</v>
      </c>
      <c r="B4041" t="s">
        <v>1331</v>
      </c>
      <c r="C4041" t="s">
        <v>2203</v>
      </c>
    </row>
    <row r="4042" spans="1:3" x14ac:dyDescent="0.2">
      <c r="A4042" t="s">
        <v>6675</v>
      </c>
      <c r="B4042" t="s">
        <v>1331</v>
      </c>
      <c r="C4042" t="s">
        <v>2203</v>
      </c>
    </row>
    <row r="4043" spans="1:3" x14ac:dyDescent="0.2">
      <c r="A4043" t="s">
        <v>2365</v>
      </c>
      <c r="B4043" t="s">
        <v>1331</v>
      </c>
      <c r="C4043" t="s">
        <v>2203</v>
      </c>
    </row>
    <row r="4044" spans="1:3" x14ac:dyDescent="0.2">
      <c r="A4044" t="s">
        <v>5241</v>
      </c>
      <c r="B4044" t="s">
        <v>1331</v>
      </c>
      <c r="C4044" t="s">
        <v>2203</v>
      </c>
    </row>
    <row r="4045" spans="1:3" x14ac:dyDescent="0.2">
      <c r="A4045" t="s">
        <v>2366</v>
      </c>
      <c r="B4045" t="s">
        <v>1331</v>
      </c>
      <c r="C4045" t="s">
        <v>2203</v>
      </c>
    </row>
    <row r="4046" spans="1:3" x14ac:dyDescent="0.2">
      <c r="A4046" t="s">
        <v>2367</v>
      </c>
      <c r="B4046" t="s">
        <v>1331</v>
      </c>
      <c r="C4046" t="s">
        <v>2203</v>
      </c>
    </row>
    <row r="4047" spans="1:3" x14ac:dyDescent="0.2">
      <c r="A4047" t="s">
        <v>2368</v>
      </c>
      <c r="B4047" t="s">
        <v>1331</v>
      </c>
      <c r="C4047" t="s">
        <v>2203</v>
      </c>
    </row>
    <row r="4048" spans="1:3" x14ac:dyDescent="0.2">
      <c r="A4048" t="s">
        <v>2369</v>
      </c>
      <c r="B4048" t="s">
        <v>1331</v>
      </c>
      <c r="C4048" t="s">
        <v>2203</v>
      </c>
    </row>
    <row r="4049" spans="1:3" x14ac:dyDescent="0.2">
      <c r="A4049" t="s">
        <v>2370</v>
      </c>
      <c r="B4049" t="s">
        <v>1331</v>
      </c>
      <c r="C4049" t="s">
        <v>2203</v>
      </c>
    </row>
    <row r="4050" spans="1:3" x14ac:dyDescent="0.2">
      <c r="A4050" t="s">
        <v>6676</v>
      </c>
      <c r="B4050" t="s">
        <v>1331</v>
      </c>
      <c r="C4050" t="s">
        <v>2203</v>
      </c>
    </row>
    <row r="4051" spans="1:3" x14ac:dyDescent="0.2">
      <c r="A4051" t="s">
        <v>2371</v>
      </c>
      <c r="B4051" t="s">
        <v>1331</v>
      </c>
      <c r="C4051" t="s">
        <v>2203</v>
      </c>
    </row>
    <row r="4052" spans="1:3" x14ac:dyDescent="0.2">
      <c r="A4052" t="s">
        <v>2372</v>
      </c>
      <c r="B4052" t="s">
        <v>1331</v>
      </c>
      <c r="C4052" t="s">
        <v>2203</v>
      </c>
    </row>
    <row r="4053" spans="1:3" x14ac:dyDescent="0.2">
      <c r="A4053" t="s">
        <v>2373</v>
      </c>
      <c r="B4053" t="s">
        <v>1331</v>
      </c>
      <c r="C4053" t="s">
        <v>2203</v>
      </c>
    </row>
    <row r="4054" spans="1:3" x14ac:dyDescent="0.2">
      <c r="A4054" t="s">
        <v>2374</v>
      </c>
      <c r="B4054" t="s">
        <v>1331</v>
      </c>
      <c r="C4054" t="s">
        <v>2203</v>
      </c>
    </row>
    <row r="4055" spans="1:3" x14ac:dyDescent="0.2">
      <c r="A4055" t="s">
        <v>2375</v>
      </c>
      <c r="B4055" t="s">
        <v>1331</v>
      </c>
      <c r="C4055" t="s">
        <v>2203</v>
      </c>
    </row>
    <row r="4056" spans="1:3" x14ac:dyDescent="0.2">
      <c r="A4056" t="s">
        <v>2376</v>
      </c>
      <c r="B4056" t="s">
        <v>1331</v>
      </c>
      <c r="C4056" t="s">
        <v>2203</v>
      </c>
    </row>
    <row r="4057" spans="1:3" x14ac:dyDescent="0.2">
      <c r="A4057" t="s">
        <v>2377</v>
      </c>
      <c r="B4057" t="s">
        <v>1331</v>
      </c>
      <c r="C4057" t="s">
        <v>2203</v>
      </c>
    </row>
    <row r="4058" spans="1:3" x14ac:dyDescent="0.2">
      <c r="A4058" t="s">
        <v>2378</v>
      </c>
      <c r="B4058" t="s">
        <v>1331</v>
      </c>
      <c r="C4058" t="s">
        <v>2203</v>
      </c>
    </row>
    <row r="4059" spans="1:3" x14ac:dyDescent="0.2">
      <c r="A4059" t="s">
        <v>2379</v>
      </c>
      <c r="B4059" t="s">
        <v>1331</v>
      </c>
      <c r="C4059" t="s">
        <v>2203</v>
      </c>
    </row>
    <row r="4060" spans="1:3" x14ac:dyDescent="0.2">
      <c r="A4060" t="s">
        <v>2380</v>
      </c>
      <c r="B4060" t="s">
        <v>1331</v>
      </c>
      <c r="C4060" t="s">
        <v>2203</v>
      </c>
    </row>
    <row r="4061" spans="1:3" x14ac:dyDescent="0.2">
      <c r="A4061" t="s">
        <v>2381</v>
      </c>
      <c r="B4061" t="s">
        <v>1331</v>
      </c>
      <c r="C4061" t="s">
        <v>2203</v>
      </c>
    </row>
    <row r="4062" spans="1:3" x14ac:dyDescent="0.2">
      <c r="A4062" t="s">
        <v>2382</v>
      </c>
      <c r="B4062" t="s">
        <v>1331</v>
      </c>
      <c r="C4062" t="s">
        <v>2203</v>
      </c>
    </row>
    <row r="4063" spans="1:3" x14ac:dyDescent="0.2">
      <c r="A4063" t="s">
        <v>2383</v>
      </c>
      <c r="B4063" t="s">
        <v>1331</v>
      </c>
      <c r="C4063" t="s">
        <v>2203</v>
      </c>
    </row>
    <row r="4064" spans="1:3" x14ac:dyDescent="0.2">
      <c r="A4064" t="s">
        <v>2384</v>
      </c>
      <c r="B4064" t="s">
        <v>1331</v>
      </c>
      <c r="C4064" t="s">
        <v>2203</v>
      </c>
    </row>
    <row r="4065" spans="1:3" x14ac:dyDescent="0.2">
      <c r="A4065" t="s">
        <v>2385</v>
      </c>
      <c r="B4065" t="s">
        <v>1331</v>
      </c>
      <c r="C4065" t="s">
        <v>2203</v>
      </c>
    </row>
    <row r="4066" spans="1:3" x14ac:dyDescent="0.2">
      <c r="A4066" t="s">
        <v>2386</v>
      </c>
      <c r="B4066" t="s">
        <v>1331</v>
      </c>
      <c r="C4066" t="s">
        <v>2203</v>
      </c>
    </row>
    <row r="4067" spans="1:3" x14ac:dyDescent="0.2">
      <c r="A4067" t="s">
        <v>2387</v>
      </c>
      <c r="B4067" t="s">
        <v>1331</v>
      </c>
      <c r="C4067" t="s">
        <v>2203</v>
      </c>
    </row>
    <row r="4068" spans="1:3" x14ac:dyDescent="0.2">
      <c r="A4068" t="s">
        <v>5242</v>
      </c>
      <c r="B4068" t="s">
        <v>1331</v>
      </c>
      <c r="C4068" t="s">
        <v>2203</v>
      </c>
    </row>
    <row r="4069" spans="1:3" x14ac:dyDescent="0.2">
      <c r="A4069" t="s">
        <v>2388</v>
      </c>
      <c r="B4069" t="s">
        <v>1331</v>
      </c>
      <c r="C4069" t="s">
        <v>2203</v>
      </c>
    </row>
    <row r="4070" spans="1:3" x14ac:dyDescent="0.2">
      <c r="A4070" t="s">
        <v>2389</v>
      </c>
      <c r="B4070" t="s">
        <v>1331</v>
      </c>
      <c r="C4070" t="s">
        <v>2203</v>
      </c>
    </row>
    <row r="4071" spans="1:3" x14ac:dyDescent="0.2">
      <c r="A4071" t="s">
        <v>2390</v>
      </c>
      <c r="B4071" t="s">
        <v>1331</v>
      </c>
      <c r="C4071" t="s">
        <v>2203</v>
      </c>
    </row>
    <row r="4072" spans="1:3" x14ac:dyDescent="0.2">
      <c r="A4072" t="s">
        <v>2391</v>
      </c>
      <c r="B4072" t="s">
        <v>1331</v>
      </c>
      <c r="C4072" t="s">
        <v>2203</v>
      </c>
    </row>
    <row r="4073" spans="1:3" x14ac:dyDescent="0.2">
      <c r="A4073" t="s">
        <v>2392</v>
      </c>
      <c r="B4073" t="s">
        <v>1331</v>
      </c>
      <c r="C4073" t="s">
        <v>2203</v>
      </c>
    </row>
    <row r="4074" spans="1:3" x14ac:dyDescent="0.2">
      <c r="A4074" t="s">
        <v>2393</v>
      </c>
      <c r="B4074" t="s">
        <v>1331</v>
      </c>
      <c r="C4074" t="s">
        <v>2203</v>
      </c>
    </row>
    <row r="4075" spans="1:3" x14ac:dyDescent="0.2">
      <c r="A4075" t="s">
        <v>2394</v>
      </c>
      <c r="B4075" t="s">
        <v>1331</v>
      </c>
      <c r="C4075" t="s">
        <v>2203</v>
      </c>
    </row>
    <row r="4076" spans="1:3" x14ac:dyDescent="0.2">
      <c r="A4076" t="s">
        <v>6677</v>
      </c>
      <c r="B4076" t="s">
        <v>1331</v>
      </c>
      <c r="C4076" t="s">
        <v>2203</v>
      </c>
    </row>
    <row r="4077" spans="1:3" x14ac:dyDescent="0.2">
      <c r="A4077" t="s">
        <v>2395</v>
      </c>
      <c r="B4077" t="s">
        <v>1331</v>
      </c>
      <c r="C4077" t="s">
        <v>2203</v>
      </c>
    </row>
    <row r="4078" spans="1:3" x14ac:dyDescent="0.2">
      <c r="A4078" t="s">
        <v>2396</v>
      </c>
      <c r="B4078" t="s">
        <v>1331</v>
      </c>
      <c r="C4078" t="s">
        <v>2203</v>
      </c>
    </row>
    <row r="4079" spans="1:3" x14ac:dyDescent="0.2">
      <c r="A4079" t="s">
        <v>6678</v>
      </c>
      <c r="B4079" t="s">
        <v>1331</v>
      </c>
      <c r="C4079" t="s">
        <v>2203</v>
      </c>
    </row>
    <row r="4080" spans="1:3" x14ac:dyDescent="0.2">
      <c r="A4080" t="s">
        <v>2397</v>
      </c>
      <c r="B4080" t="s">
        <v>1331</v>
      </c>
      <c r="C4080" t="s">
        <v>2203</v>
      </c>
    </row>
    <row r="4081" spans="1:3" x14ac:dyDescent="0.2">
      <c r="A4081" t="s">
        <v>2398</v>
      </c>
      <c r="B4081" t="s">
        <v>1331</v>
      </c>
      <c r="C4081" t="s">
        <v>2203</v>
      </c>
    </row>
    <row r="4082" spans="1:3" x14ac:dyDescent="0.2">
      <c r="A4082" t="s">
        <v>2399</v>
      </c>
      <c r="B4082" t="s">
        <v>1331</v>
      </c>
      <c r="C4082" t="s">
        <v>2203</v>
      </c>
    </row>
    <row r="4083" spans="1:3" x14ac:dyDescent="0.2">
      <c r="A4083" t="s">
        <v>2400</v>
      </c>
      <c r="B4083" t="s">
        <v>1331</v>
      </c>
      <c r="C4083" t="s">
        <v>2203</v>
      </c>
    </row>
    <row r="4084" spans="1:3" x14ac:dyDescent="0.2">
      <c r="A4084" t="s">
        <v>2401</v>
      </c>
      <c r="B4084" t="s">
        <v>1331</v>
      </c>
      <c r="C4084" t="s">
        <v>2203</v>
      </c>
    </row>
    <row r="4085" spans="1:3" x14ac:dyDescent="0.2">
      <c r="A4085" t="s">
        <v>2402</v>
      </c>
      <c r="B4085" t="s">
        <v>1331</v>
      </c>
      <c r="C4085" t="s">
        <v>2203</v>
      </c>
    </row>
    <row r="4086" spans="1:3" x14ac:dyDescent="0.2">
      <c r="A4086" t="s">
        <v>5922</v>
      </c>
      <c r="B4086" t="s">
        <v>1331</v>
      </c>
      <c r="C4086" t="s">
        <v>2203</v>
      </c>
    </row>
    <row r="4087" spans="1:3" x14ac:dyDescent="0.2">
      <c r="A4087" t="s">
        <v>2403</v>
      </c>
      <c r="B4087" t="s">
        <v>1331</v>
      </c>
      <c r="C4087" t="s">
        <v>2203</v>
      </c>
    </row>
    <row r="4088" spans="1:3" x14ac:dyDescent="0.2">
      <c r="A4088" t="s">
        <v>5097</v>
      </c>
      <c r="B4088" t="s">
        <v>1331</v>
      </c>
      <c r="C4088" t="s">
        <v>2203</v>
      </c>
    </row>
    <row r="4089" spans="1:3" x14ac:dyDescent="0.2">
      <c r="A4089" t="s">
        <v>2404</v>
      </c>
      <c r="B4089" t="s">
        <v>1331</v>
      </c>
      <c r="C4089" t="s">
        <v>2203</v>
      </c>
    </row>
    <row r="4090" spans="1:3" x14ac:dyDescent="0.2">
      <c r="A4090" t="s">
        <v>2405</v>
      </c>
      <c r="B4090" t="s">
        <v>1331</v>
      </c>
      <c r="C4090" t="s">
        <v>2203</v>
      </c>
    </row>
    <row r="4091" spans="1:3" x14ac:dyDescent="0.2">
      <c r="A4091" t="s">
        <v>2406</v>
      </c>
      <c r="B4091" t="s">
        <v>1331</v>
      </c>
      <c r="C4091" t="s">
        <v>2203</v>
      </c>
    </row>
    <row r="4092" spans="1:3" x14ac:dyDescent="0.2">
      <c r="A4092" t="s">
        <v>2407</v>
      </c>
      <c r="B4092" t="s">
        <v>1331</v>
      </c>
      <c r="C4092" t="s">
        <v>2203</v>
      </c>
    </row>
    <row r="4093" spans="1:3" x14ac:dyDescent="0.2">
      <c r="A4093" t="s">
        <v>2408</v>
      </c>
      <c r="B4093" t="s">
        <v>1331</v>
      </c>
      <c r="C4093" t="s">
        <v>2203</v>
      </c>
    </row>
    <row r="4094" spans="1:3" x14ac:dyDescent="0.2">
      <c r="A4094" t="s">
        <v>2409</v>
      </c>
      <c r="B4094" t="s">
        <v>1331</v>
      </c>
      <c r="C4094" t="s">
        <v>2203</v>
      </c>
    </row>
    <row r="4095" spans="1:3" x14ac:dyDescent="0.2">
      <c r="A4095" t="s">
        <v>2410</v>
      </c>
      <c r="B4095" t="s">
        <v>1331</v>
      </c>
      <c r="C4095" t="s">
        <v>2203</v>
      </c>
    </row>
    <row r="4096" spans="1:3" x14ac:dyDescent="0.2">
      <c r="A4096" t="s">
        <v>4730</v>
      </c>
      <c r="B4096" t="s">
        <v>1331</v>
      </c>
      <c r="C4096" t="s">
        <v>2203</v>
      </c>
    </row>
    <row r="4097" spans="1:3" x14ac:dyDescent="0.2">
      <c r="A4097" t="s">
        <v>2411</v>
      </c>
      <c r="B4097" t="s">
        <v>1331</v>
      </c>
      <c r="C4097" t="s">
        <v>2203</v>
      </c>
    </row>
    <row r="4098" spans="1:3" x14ac:dyDescent="0.2">
      <c r="A4098" t="s">
        <v>2412</v>
      </c>
      <c r="B4098" t="s">
        <v>1331</v>
      </c>
      <c r="C4098" t="s">
        <v>2203</v>
      </c>
    </row>
    <row r="4099" spans="1:3" x14ac:dyDescent="0.2">
      <c r="A4099" t="s">
        <v>5243</v>
      </c>
      <c r="B4099" t="s">
        <v>1331</v>
      </c>
      <c r="C4099" t="s">
        <v>2203</v>
      </c>
    </row>
    <row r="4100" spans="1:3" x14ac:dyDescent="0.2">
      <c r="A4100" t="s">
        <v>2413</v>
      </c>
      <c r="B4100" t="s">
        <v>1331</v>
      </c>
      <c r="C4100" t="s">
        <v>2203</v>
      </c>
    </row>
    <row r="4101" spans="1:3" x14ac:dyDescent="0.2">
      <c r="A4101" t="s">
        <v>2414</v>
      </c>
      <c r="B4101" t="s">
        <v>1331</v>
      </c>
      <c r="C4101" t="s">
        <v>2203</v>
      </c>
    </row>
    <row r="4102" spans="1:3" x14ac:dyDescent="0.2">
      <c r="A4102" t="s">
        <v>2415</v>
      </c>
      <c r="B4102" t="s">
        <v>1331</v>
      </c>
      <c r="C4102" t="s">
        <v>2203</v>
      </c>
    </row>
    <row r="4103" spans="1:3" x14ac:dyDescent="0.2">
      <c r="A4103" t="s">
        <v>2416</v>
      </c>
      <c r="B4103" t="s">
        <v>1331</v>
      </c>
      <c r="C4103" t="s">
        <v>2203</v>
      </c>
    </row>
    <row r="4104" spans="1:3" x14ac:dyDescent="0.2">
      <c r="A4104" t="s">
        <v>2417</v>
      </c>
      <c r="B4104" t="s">
        <v>1331</v>
      </c>
      <c r="C4104" t="s">
        <v>2203</v>
      </c>
    </row>
    <row r="4105" spans="1:3" x14ac:dyDescent="0.2">
      <c r="A4105" t="s">
        <v>5923</v>
      </c>
      <c r="B4105" t="s">
        <v>1331</v>
      </c>
      <c r="C4105" t="s">
        <v>2203</v>
      </c>
    </row>
    <row r="4106" spans="1:3" x14ac:dyDescent="0.2">
      <c r="A4106" t="s">
        <v>4731</v>
      </c>
      <c r="B4106" t="s">
        <v>1331</v>
      </c>
      <c r="C4106" t="s">
        <v>2203</v>
      </c>
    </row>
    <row r="4107" spans="1:3" x14ac:dyDescent="0.2">
      <c r="A4107" t="s">
        <v>2418</v>
      </c>
      <c r="B4107" t="s">
        <v>1331</v>
      </c>
      <c r="C4107" t="s">
        <v>2203</v>
      </c>
    </row>
    <row r="4108" spans="1:3" x14ac:dyDescent="0.2">
      <c r="A4108" t="s">
        <v>5244</v>
      </c>
      <c r="B4108" t="s">
        <v>1331</v>
      </c>
      <c r="C4108" t="s">
        <v>2203</v>
      </c>
    </row>
    <row r="4109" spans="1:3" x14ac:dyDescent="0.2">
      <c r="A4109" t="s">
        <v>2419</v>
      </c>
      <c r="B4109" t="s">
        <v>1331</v>
      </c>
      <c r="C4109" t="s">
        <v>2203</v>
      </c>
    </row>
    <row r="4110" spans="1:3" x14ac:dyDescent="0.2">
      <c r="A4110" t="s">
        <v>4967</v>
      </c>
      <c r="B4110" t="s">
        <v>1331</v>
      </c>
      <c r="C4110" t="s">
        <v>2203</v>
      </c>
    </row>
    <row r="4111" spans="1:3" x14ac:dyDescent="0.2">
      <c r="A4111" t="s">
        <v>5245</v>
      </c>
      <c r="B4111" t="s">
        <v>1331</v>
      </c>
      <c r="C4111" t="s">
        <v>2203</v>
      </c>
    </row>
    <row r="4112" spans="1:3" x14ac:dyDescent="0.2">
      <c r="A4112" t="s">
        <v>4968</v>
      </c>
      <c r="B4112" t="s">
        <v>1331</v>
      </c>
      <c r="C4112" t="s">
        <v>2203</v>
      </c>
    </row>
    <row r="4113" spans="1:3" x14ac:dyDescent="0.2">
      <c r="A4113" t="s">
        <v>2420</v>
      </c>
      <c r="B4113" t="s">
        <v>1331</v>
      </c>
      <c r="C4113" t="s">
        <v>2203</v>
      </c>
    </row>
    <row r="4114" spans="1:3" x14ac:dyDescent="0.2">
      <c r="A4114" t="s">
        <v>2421</v>
      </c>
      <c r="B4114" t="s">
        <v>1331</v>
      </c>
      <c r="C4114" t="s">
        <v>2203</v>
      </c>
    </row>
    <row r="4115" spans="1:3" x14ac:dyDescent="0.2">
      <c r="A4115" t="s">
        <v>2422</v>
      </c>
      <c r="B4115" t="s">
        <v>1331</v>
      </c>
      <c r="C4115" t="s">
        <v>2203</v>
      </c>
    </row>
    <row r="4116" spans="1:3" x14ac:dyDescent="0.2">
      <c r="A4116" t="s">
        <v>6679</v>
      </c>
      <c r="B4116" t="s">
        <v>1331</v>
      </c>
      <c r="C4116" t="s">
        <v>2203</v>
      </c>
    </row>
    <row r="4117" spans="1:3" x14ac:dyDescent="0.2">
      <c r="A4117" t="s">
        <v>5246</v>
      </c>
      <c r="B4117" t="s">
        <v>1331</v>
      </c>
      <c r="C4117" t="s">
        <v>2203</v>
      </c>
    </row>
    <row r="4118" spans="1:3" s="84" customFormat="1" x14ac:dyDescent="0.2">
      <c r="A4118" t="s">
        <v>2423</v>
      </c>
      <c r="B4118" t="s">
        <v>1331</v>
      </c>
      <c r="C4118" t="s">
        <v>2203</v>
      </c>
    </row>
    <row r="4119" spans="1:3" x14ac:dyDescent="0.2">
      <c r="A4119" t="s">
        <v>2424</v>
      </c>
      <c r="B4119" t="s">
        <v>1331</v>
      </c>
      <c r="C4119" t="s">
        <v>2203</v>
      </c>
    </row>
    <row r="4120" spans="1:3" x14ac:dyDescent="0.2">
      <c r="A4120" t="s">
        <v>2425</v>
      </c>
      <c r="B4120" t="s">
        <v>1331</v>
      </c>
      <c r="C4120" t="s">
        <v>2203</v>
      </c>
    </row>
    <row r="4121" spans="1:3" x14ac:dyDescent="0.2">
      <c r="A4121" t="s">
        <v>5098</v>
      </c>
      <c r="B4121" t="s">
        <v>1331</v>
      </c>
      <c r="C4121" t="s">
        <v>2203</v>
      </c>
    </row>
    <row r="4122" spans="1:3" x14ac:dyDescent="0.2">
      <c r="A4122" t="s">
        <v>6680</v>
      </c>
      <c r="B4122" t="s">
        <v>1331</v>
      </c>
      <c r="C4122" t="s">
        <v>2203</v>
      </c>
    </row>
    <row r="4123" spans="1:3" x14ac:dyDescent="0.2">
      <c r="A4123" t="s">
        <v>5099</v>
      </c>
      <c r="B4123" t="s">
        <v>1331</v>
      </c>
      <c r="C4123" t="s">
        <v>2203</v>
      </c>
    </row>
    <row r="4124" spans="1:3" x14ac:dyDescent="0.2">
      <c r="A4124" t="s">
        <v>2426</v>
      </c>
      <c r="B4124" t="s">
        <v>1331</v>
      </c>
      <c r="C4124" t="s">
        <v>2203</v>
      </c>
    </row>
    <row r="4125" spans="1:3" x14ac:dyDescent="0.2">
      <c r="A4125" t="s">
        <v>2427</v>
      </c>
      <c r="B4125" t="s">
        <v>1331</v>
      </c>
      <c r="C4125" t="s">
        <v>2203</v>
      </c>
    </row>
    <row r="4126" spans="1:3" x14ac:dyDescent="0.2">
      <c r="A4126" t="s">
        <v>2428</v>
      </c>
      <c r="B4126" t="s">
        <v>1331</v>
      </c>
      <c r="C4126" t="s">
        <v>2203</v>
      </c>
    </row>
    <row r="4127" spans="1:3" x14ac:dyDescent="0.2">
      <c r="A4127" t="s">
        <v>2429</v>
      </c>
      <c r="B4127" t="s">
        <v>1331</v>
      </c>
      <c r="C4127" t="s">
        <v>2203</v>
      </c>
    </row>
    <row r="4128" spans="1:3" s="84" customFormat="1" x14ac:dyDescent="0.2">
      <c r="A4128" t="s">
        <v>2430</v>
      </c>
      <c r="B4128" t="s">
        <v>1331</v>
      </c>
      <c r="C4128" t="s">
        <v>2203</v>
      </c>
    </row>
    <row r="4129" spans="1:3" x14ac:dyDescent="0.2">
      <c r="A4129" t="s">
        <v>2431</v>
      </c>
      <c r="B4129" t="s">
        <v>1331</v>
      </c>
      <c r="C4129" t="s">
        <v>2203</v>
      </c>
    </row>
    <row r="4130" spans="1:3" x14ac:dyDescent="0.2">
      <c r="A4130" t="s">
        <v>2432</v>
      </c>
      <c r="B4130" t="s">
        <v>1331</v>
      </c>
      <c r="C4130" t="s">
        <v>2203</v>
      </c>
    </row>
    <row r="4131" spans="1:3" x14ac:dyDescent="0.2">
      <c r="A4131" t="s">
        <v>2433</v>
      </c>
      <c r="B4131" t="s">
        <v>1331</v>
      </c>
      <c r="C4131" t="s">
        <v>2203</v>
      </c>
    </row>
    <row r="4132" spans="1:3" x14ac:dyDescent="0.2">
      <c r="A4132" t="s">
        <v>5529</v>
      </c>
      <c r="B4132" t="s">
        <v>1331</v>
      </c>
      <c r="C4132" t="s">
        <v>2203</v>
      </c>
    </row>
    <row r="4133" spans="1:3" x14ac:dyDescent="0.2">
      <c r="A4133" t="s">
        <v>2434</v>
      </c>
      <c r="B4133" t="s">
        <v>1331</v>
      </c>
      <c r="C4133" t="s">
        <v>2203</v>
      </c>
    </row>
    <row r="4134" spans="1:3" x14ac:dyDescent="0.2">
      <c r="A4134" t="s">
        <v>2435</v>
      </c>
      <c r="B4134" t="s">
        <v>1331</v>
      </c>
      <c r="C4134" t="s">
        <v>2203</v>
      </c>
    </row>
    <row r="4135" spans="1:3" x14ac:dyDescent="0.2">
      <c r="A4135" t="s">
        <v>6681</v>
      </c>
      <c r="B4135" t="s">
        <v>1331</v>
      </c>
      <c r="C4135" t="s">
        <v>2203</v>
      </c>
    </row>
    <row r="4136" spans="1:3" x14ac:dyDescent="0.2">
      <c r="A4136" t="s">
        <v>4969</v>
      </c>
      <c r="B4136" t="s">
        <v>1331</v>
      </c>
      <c r="C4136" t="s">
        <v>2203</v>
      </c>
    </row>
    <row r="4137" spans="1:3" x14ac:dyDescent="0.2">
      <c r="A4137" t="s">
        <v>2436</v>
      </c>
      <c r="B4137" t="s">
        <v>1331</v>
      </c>
      <c r="C4137" t="s">
        <v>2203</v>
      </c>
    </row>
    <row r="4138" spans="1:3" x14ac:dyDescent="0.2">
      <c r="A4138" t="s">
        <v>4970</v>
      </c>
      <c r="B4138" t="s">
        <v>1331</v>
      </c>
      <c r="C4138" t="s">
        <v>2203</v>
      </c>
    </row>
    <row r="4139" spans="1:3" x14ac:dyDescent="0.2">
      <c r="A4139" t="s">
        <v>5617</v>
      </c>
      <c r="B4139" t="s">
        <v>1331</v>
      </c>
      <c r="C4139" t="s">
        <v>2203</v>
      </c>
    </row>
    <row r="4140" spans="1:3" x14ac:dyDescent="0.2">
      <c r="A4140" t="s">
        <v>2437</v>
      </c>
      <c r="B4140" t="s">
        <v>1331</v>
      </c>
      <c r="C4140" t="s">
        <v>2203</v>
      </c>
    </row>
    <row r="4141" spans="1:3" x14ac:dyDescent="0.2">
      <c r="A4141" t="s">
        <v>2438</v>
      </c>
      <c r="B4141" t="s">
        <v>1331</v>
      </c>
      <c r="C4141" t="s">
        <v>2203</v>
      </c>
    </row>
    <row r="4142" spans="1:3" x14ac:dyDescent="0.2">
      <c r="A4142" t="s">
        <v>2439</v>
      </c>
      <c r="B4142" t="s">
        <v>1331</v>
      </c>
      <c r="C4142" t="s">
        <v>2203</v>
      </c>
    </row>
    <row r="4143" spans="1:3" x14ac:dyDescent="0.2">
      <c r="A4143" t="s">
        <v>4971</v>
      </c>
      <c r="B4143" t="s">
        <v>1331</v>
      </c>
      <c r="C4143" t="s">
        <v>2203</v>
      </c>
    </row>
    <row r="4144" spans="1:3" x14ac:dyDescent="0.2">
      <c r="A4144" t="s">
        <v>2440</v>
      </c>
      <c r="B4144" t="s">
        <v>1331</v>
      </c>
      <c r="C4144" t="s">
        <v>2203</v>
      </c>
    </row>
    <row r="4145" spans="1:3" x14ac:dyDescent="0.2">
      <c r="A4145" t="s">
        <v>2441</v>
      </c>
      <c r="B4145" t="s">
        <v>1331</v>
      </c>
      <c r="C4145" t="s">
        <v>2203</v>
      </c>
    </row>
    <row r="4146" spans="1:3" x14ac:dyDescent="0.2">
      <c r="A4146" t="s">
        <v>5247</v>
      </c>
      <c r="B4146" t="s">
        <v>1331</v>
      </c>
      <c r="C4146" t="s">
        <v>2203</v>
      </c>
    </row>
    <row r="4147" spans="1:3" x14ac:dyDescent="0.2">
      <c r="A4147" t="s">
        <v>5924</v>
      </c>
      <c r="B4147" t="s">
        <v>1331</v>
      </c>
      <c r="C4147" t="s">
        <v>2203</v>
      </c>
    </row>
    <row r="4148" spans="1:3" x14ac:dyDescent="0.2">
      <c r="A4148" t="s">
        <v>2442</v>
      </c>
      <c r="B4148" t="s">
        <v>1331</v>
      </c>
      <c r="C4148" t="s">
        <v>2203</v>
      </c>
    </row>
    <row r="4149" spans="1:3" x14ac:dyDescent="0.2">
      <c r="A4149" t="s">
        <v>5925</v>
      </c>
      <c r="B4149" t="s">
        <v>1331</v>
      </c>
      <c r="C4149" t="s">
        <v>2203</v>
      </c>
    </row>
    <row r="4150" spans="1:3" x14ac:dyDescent="0.2">
      <c r="A4150" t="s">
        <v>6682</v>
      </c>
      <c r="B4150" t="s">
        <v>1331</v>
      </c>
      <c r="C4150" t="s">
        <v>2203</v>
      </c>
    </row>
    <row r="4151" spans="1:3" x14ac:dyDescent="0.2">
      <c r="A4151" t="s">
        <v>6683</v>
      </c>
      <c r="B4151" t="s">
        <v>1331</v>
      </c>
      <c r="C4151" t="s">
        <v>2203</v>
      </c>
    </row>
    <row r="4152" spans="1:3" x14ac:dyDescent="0.2">
      <c r="A4152" t="s">
        <v>2443</v>
      </c>
      <c r="B4152" t="s">
        <v>1331</v>
      </c>
      <c r="C4152" t="s">
        <v>2203</v>
      </c>
    </row>
    <row r="4153" spans="1:3" x14ac:dyDescent="0.2">
      <c r="A4153" t="s">
        <v>2444</v>
      </c>
      <c r="B4153" t="s">
        <v>1331</v>
      </c>
      <c r="C4153" t="s">
        <v>2203</v>
      </c>
    </row>
    <row r="4154" spans="1:3" x14ac:dyDescent="0.2">
      <c r="A4154" t="s">
        <v>4972</v>
      </c>
      <c r="B4154" t="s">
        <v>1331</v>
      </c>
      <c r="C4154" t="s">
        <v>2203</v>
      </c>
    </row>
    <row r="4155" spans="1:3" x14ac:dyDescent="0.2">
      <c r="A4155" t="s">
        <v>2445</v>
      </c>
      <c r="B4155" t="s">
        <v>1331</v>
      </c>
      <c r="C4155" t="s">
        <v>2203</v>
      </c>
    </row>
    <row r="4156" spans="1:3" x14ac:dyDescent="0.2">
      <c r="A4156" t="s">
        <v>2446</v>
      </c>
      <c r="B4156" t="s">
        <v>1331</v>
      </c>
      <c r="C4156" t="s">
        <v>2203</v>
      </c>
    </row>
    <row r="4157" spans="1:3" x14ac:dyDescent="0.2">
      <c r="A4157" t="s">
        <v>5530</v>
      </c>
      <c r="B4157" t="s">
        <v>1331</v>
      </c>
      <c r="C4157" t="s">
        <v>2203</v>
      </c>
    </row>
    <row r="4158" spans="1:3" x14ac:dyDescent="0.2">
      <c r="A4158" t="s">
        <v>5248</v>
      </c>
      <c r="B4158" t="s">
        <v>1331</v>
      </c>
      <c r="C4158" t="s">
        <v>2203</v>
      </c>
    </row>
    <row r="4159" spans="1:3" x14ac:dyDescent="0.2">
      <c r="A4159" t="s">
        <v>2447</v>
      </c>
      <c r="B4159" t="s">
        <v>1331</v>
      </c>
      <c r="C4159" t="s">
        <v>2203</v>
      </c>
    </row>
    <row r="4160" spans="1:3" x14ac:dyDescent="0.2">
      <c r="A4160" t="s">
        <v>5531</v>
      </c>
      <c r="B4160" t="s">
        <v>1331</v>
      </c>
      <c r="C4160" t="s">
        <v>2203</v>
      </c>
    </row>
    <row r="4161" spans="1:3" x14ac:dyDescent="0.2">
      <c r="A4161" t="s">
        <v>2448</v>
      </c>
      <c r="B4161" t="s">
        <v>1331</v>
      </c>
      <c r="C4161" t="s">
        <v>2203</v>
      </c>
    </row>
    <row r="4162" spans="1:3" x14ac:dyDescent="0.2">
      <c r="A4162" t="s">
        <v>5532</v>
      </c>
      <c r="B4162" t="s">
        <v>1331</v>
      </c>
      <c r="C4162" t="s">
        <v>2203</v>
      </c>
    </row>
    <row r="4163" spans="1:3" x14ac:dyDescent="0.2">
      <c r="A4163" t="s">
        <v>6684</v>
      </c>
      <c r="B4163" t="s">
        <v>1331</v>
      </c>
      <c r="C4163" t="s">
        <v>2203</v>
      </c>
    </row>
    <row r="4164" spans="1:3" x14ac:dyDescent="0.2">
      <c r="A4164" t="s">
        <v>2449</v>
      </c>
      <c r="B4164" t="s">
        <v>1331</v>
      </c>
      <c r="C4164" t="s">
        <v>2203</v>
      </c>
    </row>
    <row r="4165" spans="1:3" x14ac:dyDescent="0.2">
      <c r="A4165" t="s">
        <v>2450</v>
      </c>
      <c r="B4165" t="s">
        <v>1331</v>
      </c>
      <c r="C4165" t="s">
        <v>2203</v>
      </c>
    </row>
    <row r="4166" spans="1:3" x14ac:dyDescent="0.2">
      <c r="A4166" t="s">
        <v>2451</v>
      </c>
      <c r="B4166" t="s">
        <v>1331</v>
      </c>
      <c r="C4166" t="s">
        <v>2203</v>
      </c>
    </row>
    <row r="4167" spans="1:3" x14ac:dyDescent="0.2">
      <c r="A4167" t="s">
        <v>5926</v>
      </c>
      <c r="B4167" t="s">
        <v>1331</v>
      </c>
      <c r="C4167" t="s">
        <v>2203</v>
      </c>
    </row>
    <row r="4168" spans="1:3" x14ac:dyDescent="0.2">
      <c r="A4168" t="s">
        <v>6685</v>
      </c>
      <c r="B4168" t="s">
        <v>1331</v>
      </c>
      <c r="C4168" t="s">
        <v>2203</v>
      </c>
    </row>
    <row r="4169" spans="1:3" x14ac:dyDescent="0.2">
      <c r="A4169" t="s">
        <v>2452</v>
      </c>
      <c r="B4169" t="s">
        <v>1331</v>
      </c>
      <c r="C4169" t="s">
        <v>2203</v>
      </c>
    </row>
    <row r="4170" spans="1:3" x14ac:dyDescent="0.2">
      <c r="A4170" t="s">
        <v>2453</v>
      </c>
      <c r="B4170" t="s">
        <v>1331</v>
      </c>
      <c r="C4170" t="s">
        <v>2203</v>
      </c>
    </row>
    <row r="4171" spans="1:3" x14ac:dyDescent="0.2">
      <c r="A4171" t="s">
        <v>2454</v>
      </c>
      <c r="B4171" t="s">
        <v>1331</v>
      </c>
      <c r="C4171" t="s">
        <v>2203</v>
      </c>
    </row>
    <row r="4172" spans="1:3" x14ac:dyDescent="0.2">
      <c r="A4172" t="s">
        <v>2455</v>
      </c>
      <c r="B4172" t="s">
        <v>1331</v>
      </c>
      <c r="C4172" t="s">
        <v>2203</v>
      </c>
    </row>
    <row r="4173" spans="1:3" x14ac:dyDescent="0.2">
      <c r="A4173" t="s">
        <v>6686</v>
      </c>
      <c r="B4173" t="s">
        <v>1331</v>
      </c>
      <c r="C4173" t="s">
        <v>2203</v>
      </c>
    </row>
    <row r="4174" spans="1:3" s="87" customFormat="1" x14ac:dyDescent="0.2">
      <c r="A4174" t="s">
        <v>6687</v>
      </c>
      <c r="B4174" t="s">
        <v>1331</v>
      </c>
      <c r="C4174" t="s">
        <v>2203</v>
      </c>
    </row>
    <row r="4175" spans="1:3" x14ac:dyDescent="0.2">
      <c r="A4175" t="s">
        <v>2456</v>
      </c>
      <c r="B4175" t="s">
        <v>1331</v>
      </c>
      <c r="C4175" t="s">
        <v>2203</v>
      </c>
    </row>
    <row r="4176" spans="1:3" x14ac:dyDescent="0.2">
      <c r="A4176" t="s">
        <v>2457</v>
      </c>
      <c r="B4176" t="s">
        <v>1331</v>
      </c>
      <c r="C4176" t="s">
        <v>2203</v>
      </c>
    </row>
    <row r="4177" spans="1:4" x14ac:dyDescent="0.2">
      <c r="A4177" t="s">
        <v>2458</v>
      </c>
      <c r="B4177" t="s">
        <v>1331</v>
      </c>
      <c r="C4177" t="s">
        <v>2203</v>
      </c>
    </row>
    <row r="4178" spans="1:4" x14ac:dyDescent="0.2">
      <c r="A4178" t="s">
        <v>2459</v>
      </c>
      <c r="B4178" t="s">
        <v>1331</v>
      </c>
      <c r="C4178" t="s">
        <v>2203</v>
      </c>
    </row>
    <row r="4179" spans="1:4" x14ac:dyDescent="0.2">
      <c r="A4179" t="s">
        <v>6688</v>
      </c>
      <c r="B4179" t="s">
        <v>1331</v>
      </c>
      <c r="C4179" t="s">
        <v>2203</v>
      </c>
    </row>
    <row r="4180" spans="1:4" x14ac:dyDescent="0.2">
      <c r="A4180" t="s">
        <v>2460</v>
      </c>
      <c r="B4180" t="s">
        <v>1331</v>
      </c>
      <c r="C4180" t="s">
        <v>2203</v>
      </c>
    </row>
    <row r="4181" spans="1:4" x14ac:dyDescent="0.2">
      <c r="A4181" t="s">
        <v>5927</v>
      </c>
      <c r="B4181" t="s">
        <v>1331</v>
      </c>
      <c r="C4181" t="s">
        <v>2203</v>
      </c>
    </row>
    <row r="4182" spans="1:4" x14ac:dyDescent="0.2">
      <c r="A4182" t="s">
        <v>2461</v>
      </c>
      <c r="B4182" t="s">
        <v>1331</v>
      </c>
      <c r="C4182" t="s">
        <v>2203</v>
      </c>
    </row>
    <row r="4183" spans="1:4" x14ac:dyDescent="0.2">
      <c r="A4183" t="s">
        <v>5732</v>
      </c>
      <c r="B4183" t="s">
        <v>1331</v>
      </c>
      <c r="C4183" t="s">
        <v>2203</v>
      </c>
    </row>
    <row r="4184" spans="1:4" x14ac:dyDescent="0.2">
      <c r="A4184" t="s">
        <v>2462</v>
      </c>
      <c r="B4184" t="s">
        <v>1331</v>
      </c>
      <c r="C4184" t="s">
        <v>2203</v>
      </c>
    </row>
    <row r="4185" spans="1:4" x14ac:dyDescent="0.2">
      <c r="A4185" t="s">
        <v>4973</v>
      </c>
      <c r="B4185" t="s">
        <v>1331</v>
      </c>
      <c r="C4185" t="s">
        <v>2203</v>
      </c>
      <c r="D4185" s="82"/>
    </row>
    <row r="4186" spans="1:4" x14ac:dyDescent="0.2">
      <c r="A4186" t="s">
        <v>2463</v>
      </c>
      <c r="B4186" t="s">
        <v>1331</v>
      </c>
      <c r="C4186" t="s">
        <v>2203</v>
      </c>
    </row>
    <row r="4187" spans="1:4" x14ac:dyDescent="0.2">
      <c r="A4187" t="s">
        <v>2464</v>
      </c>
      <c r="B4187" t="s">
        <v>1331</v>
      </c>
      <c r="C4187" t="s">
        <v>2203</v>
      </c>
    </row>
    <row r="4188" spans="1:4" x14ac:dyDescent="0.2">
      <c r="A4188" t="s">
        <v>6689</v>
      </c>
      <c r="B4188" t="s">
        <v>1331</v>
      </c>
      <c r="C4188" t="s">
        <v>2203</v>
      </c>
    </row>
    <row r="4189" spans="1:4" x14ac:dyDescent="0.2">
      <c r="A4189" t="s">
        <v>6690</v>
      </c>
      <c r="B4189" t="s">
        <v>1331</v>
      </c>
      <c r="C4189" t="s">
        <v>2203</v>
      </c>
    </row>
    <row r="4190" spans="1:4" x14ac:dyDescent="0.2">
      <c r="A4190" t="s">
        <v>2465</v>
      </c>
      <c r="B4190" t="s">
        <v>1331</v>
      </c>
      <c r="C4190" t="s">
        <v>2203</v>
      </c>
    </row>
    <row r="4191" spans="1:4" x14ac:dyDescent="0.2">
      <c r="A4191" t="s">
        <v>2466</v>
      </c>
      <c r="B4191" t="s">
        <v>1331</v>
      </c>
      <c r="C4191" t="s">
        <v>2203</v>
      </c>
    </row>
    <row r="4192" spans="1:4" x14ac:dyDescent="0.2">
      <c r="A4192" t="s">
        <v>2467</v>
      </c>
      <c r="B4192" t="s">
        <v>1331</v>
      </c>
      <c r="C4192" t="s">
        <v>2203</v>
      </c>
    </row>
    <row r="4193" spans="1:3" x14ac:dyDescent="0.2">
      <c r="A4193" t="s">
        <v>6691</v>
      </c>
      <c r="B4193" t="s">
        <v>1331</v>
      </c>
      <c r="C4193" t="s">
        <v>2203</v>
      </c>
    </row>
    <row r="4194" spans="1:3" x14ac:dyDescent="0.2">
      <c r="A4194" t="s">
        <v>5618</v>
      </c>
      <c r="B4194" t="s">
        <v>1331</v>
      </c>
      <c r="C4194" t="s">
        <v>2203</v>
      </c>
    </row>
    <row r="4195" spans="1:3" x14ac:dyDescent="0.2">
      <c r="A4195" t="s">
        <v>4974</v>
      </c>
      <c r="B4195" t="s">
        <v>1331</v>
      </c>
      <c r="C4195" t="s">
        <v>2203</v>
      </c>
    </row>
    <row r="4196" spans="1:3" x14ac:dyDescent="0.2">
      <c r="A4196" t="s">
        <v>5733</v>
      </c>
      <c r="B4196" t="s">
        <v>1331</v>
      </c>
      <c r="C4196" t="s">
        <v>2203</v>
      </c>
    </row>
    <row r="4197" spans="1:3" x14ac:dyDescent="0.2">
      <c r="A4197" t="s">
        <v>2468</v>
      </c>
      <c r="B4197" t="s">
        <v>1331</v>
      </c>
      <c r="C4197" t="s">
        <v>2203</v>
      </c>
    </row>
    <row r="4198" spans="1:3" x14ac:dyDescent="0.2">
      <c r="A4198" t="s">
        <v>2469</v>
      </c>
      <c r="B4198" t="s">
        <v>1331</v>
      </c>
      <c r="C4198" t="s">
        <v>2203</v>
      </c>
    </row>
    <row r="4199" spans="1:3" x14ac:dyDescent="0.2">
      <c r="A4199" t="s">
        <v>2470</v>
      </c>
      <c r="B4199" t="s">
        <v>1331</v>
      </c>
      <c r="C4199" t="s">
        <v>2203</v>
      </c>
    </row>
    <row r="4200" spans="1:3" x14ac:dyDescent="0.2">
      <c r="A4200" t="s">
        <v>2471</v>
      </c>
      <c r="B4200" t="s">
        <v>1331</v>
      </c>
      <c r="C4200" t="s">
        <v>2203</v>
      </c>
    </row>
    <row r="4201" spans="1:3" x14ac:dyDescent="0.2">
      <c r="A4201" t="s">
        <v>2472</v>
      </c>
      <c r="B4201" t="s">
        <v>1331</v>
      </c>
      <c r="C4201" t="s">
        <v>2203</v>
      </c>
    </row>
    <row r="4202" spans="1:3" x14ac:dyDescent="0.2">
      <c r="A4202" t="s">
        <v>2473</v>
      </c>
      <c r="B4202" t="s">
        <v>1331</v>
      </c>
      <c r="C4202" t="s">
        <v>2203</v>
      </c>
    </row>
    <row r="4203" spans="1:3" x14ac:dyDescent="0.2">
      <c r="A4203" t="s">
        <v>5734</v>
      </c>
      <c r="B4203" t="s">
        <v>1331</v>
      </c>
      <c r="C4203" t="s">
        <v>2203</v>
      </c>
    </row>
    <row r="4204" spans="1:3" x14ac:dyDescent="0.2">
      <c r="A4204" t="s">
        <v>6692</v>
      </c>
      <c r="B4204" t="s">
        <v>1331</v>
      </c>
      <c r="C4204" t="s">
        <v>2203</v>
      </c>
    </row>
    <row r="4205" spans="1:3" x14ac:dyDescent="0.2">
      <c r="A4205" t="s">
        <v>2474</v>
      </c>
      <c r="B4205" t="s">
        <v>1331</v>
      </c>
      <c r="C4205" t="s">
        <v>2203</v>
      </c>
    </row>
    <row r="4206" spans="1:3" x14ac:dyDescent="0.2">
      <c r="A4206" t="s">
        <v>5619</v>
      </c>
      <c r="B4206" t="s">
        <v>1331</v>
      </c>
      <c r="C4206" t="s">
        <v>2203</v>
      </c>
    </row>
    <row r="4207" spans="1:3" x14ac:dyDescent="0.2">
      <c r="A4207" t="s">
        <v>6693</v>
      </c>
      <c r="B4207" t="s">
        <v>1331</v>
      </c>
      <c r="C4207" t="s">
        <v>2203</v>
      </c>
    </row>
    <row r="4208" spans="1:3" x14ac:dyDescent="0.2">
      <c r="A4208" t="s">
        <v>5533</v>
      </c>
      <c r="B4208" t="s">
        <v>1331</v>
      </c>
      <c r="C4208" t="s">
        <v>2203</v>
      </c>
    </row>
    <row r="4209" spans="1:3" x14ac:dyDescent="0.2">
      <c r="A4209" t="s">
        <v>2475</v>
      </c>
      <c r="B4209" t="s">
        <v>1331</v>
      </c>
      <c r="C4209" t="s">
        <v>2203</v>
      </c>
    </row>
    <row r="4210" spans="1:3" x14ac:dyDescent="0.2">
      <c r="A4210" t="s">
        <v>2476</v>
      </c>
      <c r="B4210" t="s">
        <v>1331</v>
      </c>
      <c r="C4210" t="s">
        <v>2203</v>
      </c>
    </row>
    <row r="4211" spans="1:3" x14ac:dyDescent="0.2">
      <c r="A4211" t="s">
        <v>6694</v>
      </c>
      <c r="B4211" t="s">
        <v>1331</v>
      </c>
      <c r="C4211" t="s">
        <v>2203</v>
      </c>
    </row>
    <row r="4212" spans="1:3" x14ac:dyDescent="0.2">
      <c r="A4212" t="s">
        <v>2477</v>
      </c>
      <c r="B4212" t="s">
        <v>1331</v>
      </c>
      <c r="C4212" t="s">
        <v>2203</v>
      </c>
    </row>
    <row r="4213" spans="1:3" x14ac:dyDescent="0.2">
      <c r="A4213" t="s">
        <v>2478</v>
      </c>
      <c r="B4213" t="s">
        <v>1331</v>
      </c>
      <c r="C4213" t="s">
        <v>2203</v>
      </c>
    </row>
    <row r="4214" spans="1:3" x14ac:dyDescent="0.2">
      <c r="A4214" t="s">
        <v>2479</v>
      </c>
      <c r="B4214" t="s">
        <v>1331</v>
      </c>
      <c r="C4214" t="s">
        <v>2203</v>
      </c>
    </row>
    <row r="4215" spans="1:3" x14ac:dyDescent="0.2">
      <c r="A4215" t="s">
        <v>2480</v>
      </c>
      <c r="B4215" t="s">
        <v>1331</v>
      </c>
      <c r="C4215" t="s">
        <v>2203</v>
      </c>
    </row>
    <row r="4216" spans="1:3" x14ac:dyDescent="0.2">
      <c r="A4216" t="s">
        <v>2481</v>
      </c>
      <c r="B4216" t="s">
        <v>1331</v>
      </c>
      <c r="C4216" t="s">
        <v>2203</v>
      </c>
    </row>
    <row r="4217" spans="1:3" x14ac:dyDescent="0.2">
      <c r="A4217" t="s">
        <v>2482</v>
      </c>
      <c r="B4217" t="s">
        <v>1331</v>
      </c>
      <c r="C4217" t="s">
        <v>2203</v>
      </c>
    </row>
    <row r="4218" spans="1:3" x14ac:dyDescent="0.2">
      <c r="A4218" t="s">
        <v>2483</v>
      </c>
      <c r="B4218" t="s">
        <v>1331</v>
      </c>
      <c r="C4218" t="s">
        <v>2203</v>
      </c>
    </row>
    <row r="4219" spans="1:3" x14ac:dyDescent="0.2">
      <c r="A4219" t="s">
        <v>2484</v>
      </c>
      <c r="B4219" t="s">
        <v>1331</v>
      </c>
      <c r="C4219" t="s">
        <v>2203</v>
      </c>
    </row>
    <row r="4220" spans="1:3" x14ac:dyDescent="0.2">
      <c r="A4220" t="s">
        <v>2485</v>
      </c>
      <c r="B4220" t="s">
        <v>1331</v>
      </c>
      <c r="C4220" t="s">
        <v>2203</v>
      </c>
    </row>
    <row r="4221" spans="1:3" x14ac:dyDescent="0.2">
      <c r="A4221" t="s">
        <v>2486</v>
      </c>
      <c r="B4221" t="s">
        <v>1331</v>
      </c>
      <c r="C4221" t="s">
        <v>2203</v>
      </c>
    </row>
    <row r="4222" spans="1:3" x14ac:dyDescent="0.2">
      <c r="A4222" t="s">
        <v>2487</v>
      </c>
      <c r="B4222" t="s">
        <v>1331</v>
      </c>
      <c r="C4222" t="s">
        <v>2203</v>
      </c>
    </row>
    <row r="4223" spans="1:3" x14ac:dyDescent="0.2">
      <c r="A4223" t="s">
        <v>6695</v>
      </c>
      <c r="B4223" t="s">
        <v>1331</v>
      </c>
      <c r="C4223" t="s">
        <v>2203</v>
      </c>
    </row>
    <row r="4224" spans="1:3" x14ac:dyDescent="0.2">
      <c r="A4224" t="s">
        <v>6696</v>
      </c>
      <c r="B4224" t="s">
        <v>1331</v>
      </c>
      <c r="C4224" t="s">
        <v>2203</v>
      </c>
    </row>
    <row r="4225" spans="1:3" x14ac:dyDescent="0.2">
      <c r="A4225" t="s">
        <v>2488</v>
      </c>
      <c r="B4225" t="s">
        <v>1331</v>
      </c>
      <c r="C4225" t="s">
        <v>2203</v>
      </c>
    </row>
    <row r="4226" spans="1:3" x14ac:dyDescent="0.2">
      <c r="A4226" t="s">
        <v>2489</v>
      </c>
      <c r="B4226" t="s">
        <v>1331</v>
      </c>
      <c r="C4226" t="s">
        <v>2203</v>
      </c>
    </row>
    <row r="4227" spans="1:3" x14ac:dyDescent="0.2">
      <c r="A4227" t="s">
        <v>5620</v>
      </c>
      <c r="B4227" t="s">
        <v>1331</v>
      </c>
      <c r="C4227" t="s">
        <v>2203</v>
      </c>
    </row>
    <row r="4228" spans="1:3" x14ac:dyDescent="0.2">
      <c r="A4228" t="s">
        <v>6697</v>
      </c>
      <c r="B4228" t="s">
        <v>1331</v>
      </c>
      <c r="C4228" t="s">
        <v>2203</v>
      </c>
    </row>
    <row r="4229" spans="1:3" x14ac:dyDescent="0.2">
      <c r="A4229" t="s">
        <v>2490</v>
      </c>
      <c r="B4229" t="s">
        <v>1331</v>
      </c>
      <c r="C4229" t="s">
        <v>2203</v>
      </c>
    </row>
    <row r="4230" spans="1:3" x14ac:dyDescent="0.2">
      <c r="A4230" t="s">
        <v>2491</v>
      </c>
      <c r="B4230" t="s">
        <v>1331</v>
      </c>
      <c r="C4230" t="s">
        <v>2203</v>
      </c>
    </row>
    <row r="4231" spans="1:3" x14ac:dyDescent="0.2">
      <c r="A4231" t="s">
        <v>2492</v>
      </c>
      <c r="B4231" t="s">
        <v>1331</v>
      </c>
      <c r="C4231" t="s">
        <v>2203</v>
      </c>
    </row>
    <row r="4232" spans="1:3" x14ac:dyDescent="0.2">
      <c r="A4232" t="s">
        <v>2493</v>
      </c>
      <c r="B4232" t="s">
        <v>1331</v>
      </c>
      <c r="C4232" t="s">
        <v>2203</v>
      </c>
    </row>
    <row r="4233" spans="1:3" x14ac:dyDescent="0.2">
      <c r="A4233" t="s">
        <v>4975</v>
      </c>
      <c r="B4233" t="s">
        <v>1331</v>
      </c>
      <c r="C4233" t="s">
        <v>2203</v>
      </c>
    </row>
    <row r="4234" spans="1:3" x14ac:dyDescent="0.2">
      <c r="A4234" t="s">
        <v>2494</v>
      </c>
      <c r="B4234" t="s">
        <v>1331</v>
      </c>
      <c r="C4234" t="s">
        <v>2203</v>
      </c>
    </row>
    <row r="4235" spans="1:3" x14ac:dyDescent="0.2">
      <c r="A4235" t="s">
        <v>6698</v>
      </c>
      <c r="B4235" t="s">
        <v>1331</v>
      </c>
      <c r="C4235" t="s">
        <v>2203</v>
      </c>
    </row>
    <row r="4236" spans="1:3" x14ac:dyDescent="0.2">
      <c r="A4236" t="s">
        <v>5928</v>
      </c>
      <c r="B4236" t="s">
        <v>1331</v>
      </c>
      <c r="C4236" t="s">
        <v>2203</v>
      </c>
    </row>
    <row r="4237" spans="1:3" x14ac:dyDescent="0.2">
      <c r="A4237" t="s">
        <v>5621</v>
      </c>
      <c r="B4237" t="s">
        <v>1331</v>
      </c>
      <c r="C4237" t="s">
        <v>2203</v>
      </c>
    </row>
    <row r="4238" spans="1:3" x14ac:dyDescent="0.2">
      <c r="A4238" t="s">
        <v>2495</v>
      </c>
      <c r="B4238" t="s">
        <v>1331</v>
      </c>
      <c r="C4238" t="s">
        <v>2203</v>
      </c>
    </row>
    <row r="4239" spans="1:3" x14ac:dyDescent="0.2">
      <c r="A4239" t="s">
        <v>4976</v>
      </c>
      <c r="B4239" t="s">
        <v>1331</v>
      </c>
      <c r="C4239" t="s">
        <v>2203</v>
      </c>
    </row>
    <row r="4240" spans="1:3" x14ac:dyDescent="0.2">
      <c r="A4240" t="s">
        <v>2496</v>
      </c>
      <c r="B4240" t="s">
        <v>1331</v>
      </c>
      <c r="C4240" t="s">
        <v>2203</v>
      </c>
    </row>
    <row r="4241" spans="1:4" x14ac:dyDescent="0.2">
      <c r="A4241" t="s">
        <v>5534</v>
      </c>
      <c r="B4241" t="s">
        <v>1331</v>
      </c>
      <c r="C4241" t="s">
        <v>2203</v>
      </c>
    </row>
    <row r="4242" spans="1:4" x14ac:dyDescent="0.2">
      <c r="A4242" t="s">
        <v>2497</v>
      </c>
      <c r="B4242" t="s">
        <v>1331</v>
      </c>
      <c r="C4242" t="s">
        <v>2203</v>
      </c>
      <c r="D4242" s="82" t="s">
        <v>5548</v>
      </c>
    </row>
    <row r="4243" spans="1:4" x14ac:dyDescent="0.2">
      <c r="A4243" t="s">
        <v>2498</v>
      </c>
      <c r="B4243" t="s">
        <v>1331</v>
      </c>
      <c r="C4243" t="s">
        <v>2203</v>
      </c>
    </row>
    <row r="4244" spans="1:4" x14ac:dyDescent="0.2">
      <c r="A4244" t="s">
        <v>6699</v>
      </c>
      <c r="B4244" t="s">
        <v>1331</v>
      </c>
      <c r="C4244" t="s">
        <v>2203</v>
      </c>
    </row>
    <row r="4245" spans="1:4" x14ac:dyDescent="0.2">
      <c r="A4245" t="s">
        <v>2499</v>
      </c>
      <c r="B4245" t="s">
        <v>1331</v>
      </c>
      <c r="C4245" t="s">
        <v>2203</v>
      </c>
    </row>
    <row r="4246" spans="1:4" x14ac:dyDescent="0.2">
      <c r="A4246" t="s">
        <v>6700</v>
      </c>
      <c r="B4246" t="s">
        <v>1331</v>
      </c>
      <c r="C4246" t="s">
        <v>2203</v>
      </c>
    </row>
    <row r="4247" spans="1:4" x14ac:dyDescent="0.2">
      <c r="A4247" t="s">
        <v>6701</v>
      </c>
      <c r="B4247" t="s">
        <v>1331</v>
      </c>
      <c r="C4247" t="s">
        <v>2203</v>
      </c>
    </row>
    <row r="4248" spans="1:4" x14ac:dyDescent="0.2">
      <c r="A4248" t="s">
        <v>4977</v>
      </c>
      <c r="B4248" t="s">
        <v>1331</v>
      </c>
      <c r="C4248" t="s">
        <v>2203</v>
      </c>
    </row>
    <row r="4249" spans="1:4" x14ac:dyDescent="0.2">
      <c r="A4249" t="s">
        <v>2500</v>
      </c>
      <c r="B4249" t="s">
        <v>1331</v>
      </c>
      <c r="C4249" t="s">
        <v>2203</v>
      </c>
    </row>
    <row r="4250" spans="1:4" x14ac:dyDescent="0.2">
      <c r="A4250" t="s">
        <v>6702</v>
      </c>
      <c r="B4250" t="s">
        <v>1331</v>
      </c>
      <c r="C4250" t="s">
        <v>2203</v>
      </c>
    </row>
    <row r="4251" spans="1:4" x14ac:dyDescent="0.2">
      <c r="A4251" t="s">
        <v>5735</v>
      </c>
      <c r="B4251" t="s">
        <v>1331</v>
      </c>
      <c r="C4251" t="s">
        <v>2203</v>
      </c>
    </row>
    <row r="4252" spans="1:4" x14ac:dyDescent="0.2">
      <c r="A4252" t="s">
        <v>6703</v>
      </c>
      <c r="B4252" t="s">
        <v>1331</v>
      </c>
      <c r="C4252" t="s">
        <v>2203</v>
      </c>
    </row>
    <row r="4253" spans="1:4" x14ac:dyDescent="0.2">
      <c r="A4253" t="s">
        <v>2501</v>
      </c>
      <c r="B4253" t="s">
        <v>1331</v>
      </c>
      <c r="C4253" t="s">
        <v>2203</v>
      </c>
    </row>
    <row r="4254" spans="1:4" x14ac:dyDescent="0.2">
      <c r="A4254" t="s">
        <v>6704</v>
      </c>
      <c r="B4254" t="s">
        <v>1331</v>
      </c>
      <c r="C4254" t="s">
        <v>2203</v>
      </c>
    </row>
    <row r="4255" spans="1:4" x14ac:dyDescent="0.2">
      <c r="A4255" t="s">
        <v>2502</v>
      </c>
      <c r="B4255" t="s">
        <v>1331</v>
      </c>
      <c r="C4255" t="s">
        <v>2203</v>
      </c>
    </row>
    <row r="4256" spans="1:4" x14ac:dyDescent="0.2">
      <c r="A4256" t="s">
        <v>5929</v>
      </c>
      <c r="B4256" t="s">
        <v>1331</v>
      </c>
      <c r="C4256" t="s">
        <v>2203</v>
      </c>
    </row>
    <row r="4257" spans="1:7" x14ac:dyDescent="0.2">
      <c r="A4257" t="s">
        <v>2503</v>
      </c>
      <c r="B4257" t="s">
        <v>1331</v>
      </c>
      <c r="C4257" t="s">
        <v>2203</v>
      </c>
    </row>
    <row r="4258" spans="1:7" x14ac:dyDescent="0.2">
      <c r="A4258" t="s">
        <v>4978</v>
      </c>
      <c r="B4258" t="s">
        <v>1331</v>
      </c>
      <c r="C4258" t="s">
        <v>2203</v>
      </c>
    </row>
    <row r="4259" spans="1:7" x14ac:dyDescent="0.2">
      <c r="A4259" t="s">
        <v>2504</v>
      </c>
      <c r="B4259" t="s">
        <v>1331</v>
      </c>
      <c r="C4259" t="s">
        <v>2203</v>
      </c>
    </row>
    <row r="4260" spans="1:7" x14ac:dyDescent="0.2">
      <c r="A4260" t="s">
        <v>6705</v>
      </c>
      <c r="B4260" t="s">
        <v>1331</v>
      </c>
      <c r="C4260" t="s">
        <v>2203</v>
      </c>
    </row>
    <row r="4261" spans="1:7" x14ac:dyDescent="0.2">
      <c r="A4261" t="s">
        <v>5622</v>
      </c>
      <c r="B4261" t="s">
        <v>1331</v>
      </c>
      <c r="C4261" t="s">
        <v>2203</v>
      </c>
      <c r="G4261" s="7"/>
    </row>
    <row r="4262" spans="1:7" x14ac:dyDescent="0.2">
      <c r="A4262" t="s">
        <v>2505</v>
      </c>
      <c r="B4262" t="s">
        <v>1331</v>
      </c>
      <c r="C4262" t="s">
        <v>2203</v>
      </c>
      <c r="G4262" s="7"/>
    </row>
    <row r="4263" spans="1:7" x14ac:dyDescent="0.2">
      <c r="A4263" t="s">
        <v>2506</v>
      </c>
      <c r="B4263" t="s">
        <v>1331</v>
      </c>
      <c r="C4263" t="s">
        <v>2203</v>
      </c>
      <c r="G4263" s="7"/>
    </row>
    <row r="4264" spans="1:7" x14ac:dyDescent="0.2">
      <c r="A4264" t="s">
        <v>2507</v>
      </c>
      <c r="B4264" t="s">
        <v>1331</v>
      </c>
      <c r="C4264" t="s">
        <v>2203</v>
      </c>
      <c r="G4264" s="7"/>
    </row>
    <row r="4265" spans="1:7" x14ac:dyDescent="0.2">
      <c r="A4265" t="s">
        <v>2508</v>
      </c>
      <c r="B4265" t="s">
        <v>1331</v>
      </c>
      <c r="C4265" t="s">
        <v>2203</v>
      </c>
    </row>
    <row r="4266" spans="1:7" x14ac:dyDescent="0.2">
      <c r="A4266" t="s">
        <v>4979</v>
      </c>
      <c r="B4266" t="s">
        <v>1331</v>
      </c>
      <c r="C4266" t="s">
        <v>2203</v>
      </c>
    </row>
    <row r="4267" spans="1:7" x14ac:dyDescent="0.2">
      <c r="A4267" t="s">
        <v>5535</v>
      </c>
      <c r="B4267" t="s">
        <v>1331</v>
      </c>
      <c r="C4267" t="s">
        <v>2203</v>
      </c>
    </row>
    <row r="4268" spans="1:7" x14ac:dyDescent="0.2">
      <c r="A4268" t="s">
        <v>2509</v>
      </c>
      <c r="B4268" t="s">
        <v>1331</v>
      </c>
      <c r="C4268" t="s">
        <v>2203</v>
      </c>
    </row>
    <row r="4269" spans="1:7" x14ac:dyDescent="0.2">
      <c r="A4269" t="s">
        <v>2510</v>
      </c>
      <c r="B4269" t="s">
        <v>1331</v>
      </c>
      <c r="C4269" t="s">
        <v>2203</v>
      </c>
    </row>
    <row r="4270" spans="1:7" x14ac:dyDescent="0.2">
      <c r="A4270" t="s">
        <v>6706</v>
      </c>
      <c r="B4270" t="s">
        <v>1331</v>
      </c>
      <c r="C4270" t="s">
        <v>2203</v>
      </c>
    </row>
    <row r="4271" spans="1:7" x14ac:dyDescent="0.2">
      <c r="A4271" t="s">
        <v>2511</v>
      </c>
      <c r="B4271" t="s">
        <v>1331</v>
      </c>
      <c r="C4271" t="s">
        <v>2203</v>
      </c>
    </row>
    <row r="4272" spans="1:7" x14ac:dyDescent="0.2">
      <c r="A4272" t="s">
        <v>2512</v>
      </c>
      <c r="B4272" t="s">
        <v>1331</v>
      </c>
      <c r="C4272" t="s">
        <v>2203</v>
      </c>
    </row>
    <row r="4273" spans="1:3" x14ac:dyDescent="0.2">
      <c r="A4273" t="s">
        <v>6707</v>
      </c>
      <c r="B4273" t="s">
        <v>1331</v>
      </c>
      <c r="C4273" t="s">
        <v>2203</v>
      </c>
    </row>
    <row r="4274" spans="1:3" x14ac:dyDescent="0.2">
      <c r="A4274" t="s">
        <v>2513</v>
      </c>
      <c r="B4274" t="s">
        <v>1331</v>
      </c>
      <c r="C4274" t="s">
        <v>2203</v>
      </c>
    </row>
    <row r="4275" spans="1:3" x14ac:dyDescent="0.2">
      <c r="A4275" t="s">
        <v>2514</v>
      </c>
      <c r="B4275" t="s">
        <v>1331</v>
      </c>
      <c r="C4275" t="s">
        <v>2203</v>
      </c>
    </row>
    <row r="4276" spans="1:3" x14ac:dyDescent="0.2">
      <c r="A4276" t="s">
        <v>2515</v>
      </c>
      <c r="B4276" t="s">
        <v>1331</v>
      </c>
      <c r="C4276" t="s">
        <v>2203</v>
      </c>
    </row>
    <row r="4277" spans="1:3" x14ac:dyDescent="0.2">
      <c r="A4277" t="s">
        <v>2516</v>
      </c>
      <c r="B4277" t="s">
        <v>1331</v>
      </c>
      <c r="C4277" t="s">
        <v>2203</v>
      </c>
    </row>
    <row r="4278" spans="1:3" x14ac:dyDescent="0.2">
      <c r="A4278" t="s">
        <v>4980</v>
      </c>
      <c r="B4278" t="s">
        <v>1331</v>
      </c>
      <c r="C4278" t="s">
        <v>2203</v>
      </c>
    </row>
    <row r="4279" spans="1:3" x14ac:dyDescent="0.2">
      <c r="A4279" t="s">
        <v>2517</v>
      </c>
      <c r="B4279" t="s">
        <v>1331</v>
      </c>
      <c r="C4279" t="s">
        <v>2203</v>
      </c>
    </row>
    <row r="4280" spans="1:3" x14ac:dyDescent="0.2">
      <c r="A4280" t="s">
        <v>2518</v>
      </c>
      <c r="B4280" t="s">
        <v>1331</v>
      </c>
      <c r="C4280" t="s">
        <v>2203</v>
      </c>
    </row>
    <row r="4281" spans="1:3" x14ac:dyDescent="0.2">
      <c r="A4281" t="s">
        <v>2519</v>
      </c>
      <c r="B4281" t="s">
        <v>1331</v>
      </c>
      <c r="C4281" t="s">
        <v>2203</v>
      </c>
    </row>
    <row r="4282" spans="1:3" x14ac:dyDescent="0.2">
      <c r="A4282" t="s">
        <v>6708</v>
      </c>
      <c r="B4282" t="s">
        <v>1331</v>
      </c>
      <c r="C4282" t="s">
        <v>2203</v>
      </c>
    </row>
    <row r="4283" spans="1:3" x14ac:dyDescent="0.2">
      <c r="A4283" t="s">
        <v>2520</v>
      </c>
      <c r="B4283" t="s">
        <v>1331</v>
      </c>
      <c r="C4283" t="s">
        <v>2203</v>
      </c>
    </row>
    <row r="4284" spans="1:3" x14ac:dyDescent="0.2">
      <c r="A4284" t="s">
        <v>2521</v>
      </c>
      <c r="B4284" t="s">
        <v>1331</v>
      </c>
      <c r="C4284" t="s">
        <v>2203</v>
      </c>
    </row>
    <row r="4285" spans="1:3" x14ac:dyDescent="0.2">
      <c r="A4285" t="s">
        <v>6709</v>
      </c>
      <c r="B4285" t="s">
        <v>1331</v>
      </c>
      <c r="C4285" t="s">
        <v>2203</v>
      </c>
    </row>
    <row r="4286" spans="1:3" x14ac:dyDescent="0.2">
      <c r="A4286" t="s">
        <v>2522</v>
      </c>
      <c r="B4286" t="s">
        <v>1331</v>
      </c>
      <c r="C4286" t="s">
        <v>2203</v>
      </c>
    </row>
    <row r="4287" spans="1:3" x14ac:dyDescent="0.2">
      <c r="A4287" t="s">
        <v>4981</v>
      </c>
      <c r="B4287" t="s">
        <v>1331</v>
      </c>
      <c r="C4287" t="s">
        <v>2203</v>
      </c>
    </row>
    <row r="4288" spans="1:3" x14ac:dyDescent="0.2">
      <c r="A4288" t="s">
        <v>5736</v>
      </c>
      <c r="B4288" t="s">
        <v>1331</v>
      </c>
      <c r="C4288" t="s">
        <v>2203</v>
      </c>
    </row>
    <row r="4289" spans="1:3" x14ac:dyDescent="0.2">
      <c r="A4289" t="s">
        <v>2523</v>
      </c>
      <c r="B4289" t="s">
        <v>1331</v>
      </c>
      <c r="C4289" t="s">
        <v>2203</v>
      </c>
    </row>
    <row r="4290" spans="1:3" x14ac:dyDescent="0.2">
      <c r="A4290" t="s">
        <v>4982</v>
      </c>
      <c r="B4290" t="s">
        <v>1331</v>
      </c>
      <c r="C4290" t="s">
        <v>2203</v>
      </c>
    </row>
    <row r="4291" spans="1:3" x14ac:dyDescent="0.2">
      <c r="A4291" t="s">
        <v>2524</v>
      </c>
      <c r="B4291" t="s">
        <v>1331</v>
      </c>
      <c r="C4291" t="s">
        <v>2203</v>
      </c>
    </row>
    <row r="4292" spans="1:3" x14ac:dyDescent="0.2">
      <c r="A4292" t="s">
        <v>6710</v>
      </c>
      <c r="B4292" t="s">
        <v>1331</v>
      </c>
      <c r="C4292" t="s">
        <v>2203</v>
      </c>
    </row>
    <row r="4293" spans="1:3" x14ac:dyDescent="0.2">
      <c r="A4293" t="s">
        <v>4983</v>
      </c>
      <c r="B4293" t="s">
        <v>1331</v>
      </c>
      <c r="C4293" t="s">
        <v>2203</v>
      </c>
    </row>
    <row r="4294" spans="1:3" x14ac:dyDescent="0.2">
      <c r="A4294" t="s">
        <v>2525</v>
      </c>
      <c r="B4294" t="s">
        <v>1331</v>
      </c>
      <c r="C4294" t="s">
        <v>2203</v>
      </c>
    </row>
    <row r="4295" spans="1:3" x14ac:dyDescent="0.2">
      <c r="A4295" t="s">
        <v>2526</v>
      </c>
      <c r="B4295" t="s">
        <v>1331</v>
      </c>
      <c r="C4295" t="s">
        <v>2203</v>
      </c>
    </row>
    <row r="4296" spans="1:3" x14ac:dyDescent="0.2">
      <c r="A4296" t="s">
        <v>2527</v>
      </c>
      <c r="B4296" t="s">
        <v>1331</v>
      </c>
      <c r="C4296" t="s">
        <v>2203</v>
      </c>
    </row>
    <row r="4297" spans="1:3" x14ac:dyDescent="0.2">
      <c r="A4297" t="s">
        <v>2528</v>
      </c>
      <c r="B4297" t="s">
        <v>1331</v>
      </c>
      <c r="C4297" t="s">
        <v>2203</v>
      </c>
    </row>
    <row r="4298" spans="1:3" x14ac:dyDescent="0.2">
      <c r="A4298" t="s">
        <v>6711</v>
      </c>
      <c r="B4298" t="s">
        <v>1331</v>
      </c>
      <c r="C4298" t="s">
        <v>2203</v>
      </c>
    </row>
    <row r="4299" spans="1:3" x14ac:dyDescent="0.2">
      <c r="A4299" t="s">
        <v>6712</v>
      </c>
      <c r="B4299" t="s">
        <v>1331</v>
      </c>
      <c r="C4299" t="s">
        <v>2203</v>
      </c>
    </row>
    <row r="4300" spans="1:3" x14ac:dyDescent="0.2">
      <c r="A4300" t="s">
        <v>6713</v>
      </c>
      <c r="B4300" t="s">
        <v>1331</v>
      </c>
      <c r="C4300" t="s">
        <v>2203</v>
      </c>
    </row>
    <row r="4301" spans="1:3" x14ac:dyDescent="0.2">
      <c r="A4301" t="s">
        <v>2529</v>
      </c>
      <c r="B4301" t="s">
        <v>1331</v>
      </c>
      <c r="C4301" t="s">
        <v>2203</v>
      </c>
    </row>
    <row r="4302" spans="1:3" x14ac:dyDescent="0.2">
      <c r="A4302" t="s">
        <v>2530</v>
      </c>
      <c r="B4302" t="s">
        <v>1331</v>
      </c>
      <c r="C4302" t="s">
        <v>2203</v>
      </c>
    </row>
    <row r="4303" spans="1:3" x14ac:dyDescent="0.2">
      <c r="A4303" t="s">
        <v>2531</v>
      </c>
      <c r="B4303" t="s">
        <v>1331</v>
      </c>
      <c r="C4303" t="s">
        <v>2203</v>
      </c>
    </row>
    <row r="4304" spans="1:3" x14ac:dyDescent="0.2">
      <c r="A4304" t="s">
        <v>5930</v>
      </c>
      <c r="B4304" t="s">
        <v>1331</v>
      </c>
      <c r="C4304" t="s">
        <v>2203</v>
      </c>
    </row>
    <row r="4305" spans="1:3" x14ac:dyDescent="0.2">
      <c r="A4305" t="s">
        <v>2532</v>
      </c>
      <c r="B4305" t="s">
        <v>1331</v>
      </c>
      <c r="C4305" t="s">
        <v>2203</v>
      </c>
    </row>
    <row r="4306" spans="1:3" x14ac:dyDescent="0.2">
      <c r="A4306" t="s">
        <v>2533</v>
      </c>
      <c r="B4306" t="s">
        <v>1331</v>
      </c>
      <c r="C4306" t="s">
        <v>2203</v>
      </c>
    </row>
    <row r="4307" spans="1:3" x14ac:dyDescent="0.2">
      <c r="A4307" t="s">
        <v>2534</v>
      </c>
      <c r="B4307" t="s">
        <v>1331</v>
      </c>
      <c r="C4307" t="s">
        <v>2203</v>
      </c>
    </row>
    <row r="4308" spans="1:3" x14ac:dyDescent="0.2">
      <c r="A4308" t="s">
        <v>2535</v>
      </c>
      <c r="B4308" t="s">
        <v>1331</v>
      </c>
      <c r="C4308" t="s">
        <v>2203</v>
      </c>
    </row>
    <row r="4309" spans="1:3" x14ac:dyDescent="0.2">
      <c r="A4309" t="s">
        <v>2536</v>
      </c>
      <c r="B4309" t="s">
        <v>1331</v>
      </c>
      <c r="C4309" t="s">
        <v>2203</v>
      </c>
    </row>
    <row r="4310" spans="1:3" x14ac:dyDescent="0.2">
      <c r="A4310" t="s">
        <v>6714</v>
      </c>
      <c r="B4310" t="s">
        <v>1331</v>
      </c>
      <c r="C4310" t="s">
        <v>2203</v>
      </c>
    </row>
    <row r="4311" spans="1:3" x14ac:dyDescent="0.2">
      <c r="A4311" t="s">
        <v>5536</v>
      </c>
      <c r="B4311" t="s">
        <v>1331</v>
      </c>
      <c r="C4311" t="s">
        <v>2203</v>
      </c>
    </row>
    <row r="4312" spans="1:3" x14ac:dyDescent="0.2">
      <c r="A4312" t="s">
        <v>2537</v>
      </c>
      <c r="B4312" t="s">
        <v>1331</v>
      </c>
      <c r="C4312" t="s">
        <v>2203</v>
      </c>
    </row>
    <row r="4313" spans="1:3" x14ac:dyDescent="0.2">
      <c r="A4313" t="s">
        <v>5537</v>
      </c>
      <c r="B4313" t="s">
        <v>1331</v>
      </c>
      <c r="C4313" t="s">
        <v>2203</v>
      </c>
    </row>
    <row r="4314" spans="1:3" x14ac:dyDescent="0.2">
      <c r="A4314" t="s">
        <v>2538</v>
      </c>
      <c r="B4314" t="s">
        <v>1331</v>
      </c>
      <c r="C4314" t="s">
        <v>2203</v>
      </c>
    </row>
    <row r="4315" spans="1:3" x14ac:dyDescent="0.2">
      <c r="A4315" t="s">
        <v>2539</v>
      </c>
      <c r="B4315" t="s">
        <v>1331</v>
      </c>
      <c r="C4315" t="s">
        <v>2203</v>
      </c>
    </row>
    <row r="4316" spans="1:3" x14ac:dyDescent="0.2">
      <c r="A4316" t="s">
        <v>2540</v>
      </c>
      <c r="B4316" t="s">
        <v>1331</v>
      </c>
      <c r="C4316" t="s">
        <v>2203</v>
      </c>
    </row>
    <row r="4317" spans="1:3" x14ac:dyDescent="0.2">
      <c r="A4317" t="s">
        <v>4984</v>
      </c>
      <c r="B4317" t="s">
        <v>1331</v>
      </c>
      <c r="C4317" t="s">
        <v>2203</v>
      </c>
    </row>
    <row r="4318" spans="1:3" x14ac:dyDescent="0.2">
      <c r="A4318" t="s">
        <v>5931</v>
      </c>
      <c r="B4318" t="s">
        <v>1331</v>
      </c>
      <c r="C4318" t="s">
        <v>2203</v>
      </c>
    </row>
    <row r="4319" spans="1:3" x14ac:dyDescent="0.2">
      <c r="A4319" t="s">
        <v>2541</v>
      </c>
      <c r="B4319" t="s">
        <v>1331</v>
      </c>
      <c r="C4319" t="s">
        <v>2203</v>
      </c>
    </row>
    <row r="4320" spans="1:3" x14ac:dyDescent="0.2">
      <c r="A4320" t="s">
        <v>2542</v>
      </c>
      <c r="B4320" t="s">
        <v>1331</v>
      </c>
      <c r="C4320" t="s">
        <v>2203</v>
      </c>
    </row>
    <row r="4321" spans="1:3" x14ac:dyDescent="0.2">
      <c r="A4321" t="s">
        <v>2543</v>
      </c>
      <c r="B4321" t="s">
        <v>1331</v>
      </c>
      <c r="C4321" t="s">
        <v>2203</v>
      </c>
    </row>
    <row r="4322" spans="1:3" x14ac:dyDescent="0.2">
      <c r="A4322" t="s">
        <v>6715</v>
      </c>
      <c r="B4322" t="s">
        <v>1331</v>
      </c>
      <c r="C4322" t="s">
        <v>2203</v>
      </c>
    </row>
    <row r="4323" spans="1:3" x14ac:dyDescent="0.2">
      <c r="A4323" t="s">
        <v>5623</v>
      </c>
      <c r="B4323" t="s">
        <v>1331</v>
      </c>
      <c r="C4323" t="s">
        <v>2203</v>
      </c>
    </row>
    <row r="4324" spans="1:3" x14ac:dyDescent="0.2">
      <c r="A4324" t="s">
        <v>5737</v>
      </c>
      <c r="B4324" t="s">
        <v>1331</v>
      </c>
      <c r="C4324" t="s">
        <v>2203</v>
      </c>
    </row>
    <row r="4325" spans="1:3" x14ac:dyDescent="0.2">
      <c r="A4325" t="s">
        <v>2544</v>
      </c>
      <c r="B4325" t="s">
        <v>1331</v>
      </c>
      <c r="C4325" t="s">
        <v>2203</v>
      </c>
    </row>
    <row r="4326" spans="1:3" x14ac:dyDescent="0.2">
      <c r="A4326" t="s">
        <v>2545</v>
      </c>
      <c r="B4326" t="s">
        <v>1331</v>
      </c>
      <c r="C4326" t="s">
        <v>2203</v>
      </c>
    </row>
    <row r="4327" spans="1:3" x14ac:dyDescent="0.2">
      <c r="A4327" t="s">
        <v>2546</v>
      </c>
      <c r="B4327" t="s">
        <v>1331</v>
      </c>
      <c r="C4327" t="s">
        <v>2203</v>
      </c>
    </row>
    <row r="4328" spans="1:3" x14ac:dyDescent="0.2">
      <c r="A4328" t="s">
        <v>6716</v>
      </c>
      <c r="B4328" t="s">
        <v>1331</v>
      </c>
      <c r="C4328" t="s">
        <v>2203</v>
      </c>
    </row>
    <row r="4329" spans="1:3" x14ac:dyDescent="0.2">
      <c r="A4329" t="s">
        <v>2547</v>
      </c>
      <c r="B4329" t="s">
        <v>1331</v>
      </c>
      <c r="C4329" t="s">
        <v>2203</v>
      </c>
    </row>
    <row r="4330" spans="1:3" x14ac:dyDescent="0.2">
      <c r="A4330" t="s">
        <v>5932</v>
      </c>
      <c r="B4330" t="s">
        <v>1331</v>
      </c>
      <c r="C4330" t="s">
        <v>2203</v>
      </c>
    </row>
    <row r="4331" spans="1:3" x14ac:dyDescent="0.2">
      <c r="A4331" t="s">
        <v>2548</v>
      </c>
      <c r="B4331" t="s">
        <v>1331</v>
      </c>
      <c r="C4331" t="s">
        <v>2203</v>
      </c>
    </row>
    <row r="4332" spans="1:3" x14ac:dyDescent="0.2">
      <c r="A4332" t="s">
        <v>2549</v>
      </c>
      <c r="B4332" t="s">
        <v>1331</v>
      </c>
      <c r="C4332" t="s">
        <v>2203</v>
      </c>
    </row>
    <row r="4333" spans="1:3" x14ac:dyDescent="0.2">
      <c r="A4333" t="s">
        <v>2550</v>
      </c>
      <c r="B4333" t="s">
        <v>1331</v>
      </c>
      <c r="C4333" t="s">
        <v>2203</v>
      </c>
    </row>
    <row r="4334" spans="1:3" x14ac:dyDescent="0.2">
      <c r="A4334" t="s">
        <v>4985</v>
      </c>
      <c r="B4334" t="s">
        <v>1331</v>
      </c>
      <c r="C4334" t="s">
        <v>2203</v>
      </c>
    </row>
    <row r="4335" spans="1:3" x14ac:dyDescent="0.2">
      <c r="A4335" t="s">
        <v>2551</v>
      </c>
      <c r="B4335" t="s">
        <v>1331</v>
      </c>
      <c r="C4335" t="s">
        <v>2203</v>
      </c>
    </row>
    <row r="4336" spans="1:3" x14ac:dyDescent="0.2">
      <c r="A4336" t="s">
        <v>2552</v>
      </c>
      <c r="B4336" t="s">
        <v>1331</v>
      </c>
      <c r="C4336" t="s">
        <v>2203</v>
      </c>
    </row>
    <row r="4337" spans="1:3" x14ac:dyDescent="0.2">
      <c r="A4337" t="s">
        <v>5933</v>
      </c>
      <c r="B4337" t="s">
        <v>1331</v>
      </c>
      <c r="C4337" t="s">
        <v>2203</v>
      </c>
    </row>
    <row r="4338" spans="1:3" x14ac:dyDescent="0.2">
      <c r="A4338" t="s">
        <v>6717</v>
      </c>
      <c r="B4338" t="s">
        <v>1331</v>
      </c>
      <c r="C4338" t="s">
        <v>2203</v>
      </c>
    </row>
    <row r="4339" spans="1:3" x14ac:dyDescent="0.2">
      <c r="A4339" t="s">
        <v>2553</v>
      </c>
      <c r="B4339" t="s">
        <v>1331</v>
      </c>
      <c r="C4339" t="s">
        <v>2203</v>
      </c>
    </row>
    <row r="4340" spans="1:3" x14ac:dyDescent="0.2">
      <c r="A4340" t="s">
        <v>2554</v>
      </c>
      <c r="B4340" t="s">
        <v>1331</v>
      </c>
      <c r="C4340" t="s">
        <v>2203</v>
      </c>
    </row>
    <row r="4341" spans="1:3" x14ac:dyDescent="0.2">
      <c r="A4341" t="s">
        <v>6718</v>
      </c>
      <c r="B4341" t="s">
        <v>1331</v>
      </c>
      <c r="C4341" t="s">
        <v>2203</v>
      </c>
    </row>
    <row r="4342" spans="1:3" x14ac:dyDescent="0.2">
      <c r="A4342" t="s">
        <v>2555</v>
      </c>
      <c r="B4342" t="s">
        <v>1331</v>
      </c>
      <c r="C4342" t="s">
        <v>2203</v>
      </c>
    </row>
    <row r="4343" spans="1:3" x14ac:dyDescent="0.2">
      <c r="A4343" t="s">
        <v>5624</v>
      </c>
      <c r="B4343" t="s">
        <v>1331</v>
      </c>
      <c r="C4343" t="s">
        <v>2203</v>
      </c>
    </row>
    <row r="4344" spans="1:3" x14ac:dyDescent="0.2">
      <c r="A4344" t="s">
        <v>2556</v>
      </c>
      <c r="B4344" t="s">
        <v>1331</v>
      </c>
      <c r="C4344" t="s">
        <v>2203</v>
      </c>
    </row>
    <row r="4345" spans="1:3" x14ac:dyDescent="0.2">
      <c r="A4345" t="s">
        <v>6719</v>
      </c>
      <c r="B4345" t="s">
        <v>1331</v>
      </c>
      <c r="C4345" t="s">
        <v>2203</v>
      </c>
    </row>
    <row r="4346" spans="1:3" x14ac:dyDescent="0.2">
      <c r="A4346" t="s">
        <v>5538</v>
      </c>
      <c r="B4346" t="s">
        <v>1331</v>
      </c>
      <c r="C4346" t="s">
        <v>2203</v>
      </c>
    </row>
    <row r="4347" spans="1:3" x14ac:dyDescent="0.2">
      <c r="A4347" t="s">
        <v>6720</v>
      </c>
      <c r="B4347" t="s">
        <v>1331</v>
      </c>
      <c r="C4347" t="s">
        <v>2203</v>
      </c>
    </row>
    <row r="4348" spans="1:3" x14ac:dyDescent="0.2">
      <c r="A4348" t="s">
        <v>2557</v>
      </c>
      <c r="B4348" t="s">
        <v>1331</v>
      </c>
      <c r="C4348" t="s">
        <v>2203</v>
      </c>
    </row>
    <row r="4349" spans="1:3" x14ac:dyDescent="0.2">
      <c r="A4349" t="s">
        <v>6721</v>
      </c>
      <c r="B4349" t="s">
        <v>1331</v>
      </c>
      <c r="C4349" t="s">
        <v>2203</v>
      </c>
    </row>
    <row r="4350" spans="1:3" x14ac:dyDescent="0.2">
      <c r="A4350" t="s">
        <v>2558</v>
      </c>
      <c r="B4350" t="s">
        <v>1331</v>
      </c>
      <c r="C4350" t="s">
        <v>2203</v>
      </c>
    </row>
    <row r="4351" spans="1:3" x14ac:dyDescent="0.2">
      <c r="A4351" t="s">
        <v>5738</v>
      </c>
      <c r="B4351" t="s">
        <v>1331</v>
      </c>
      <c r="C4351" t="s">
        <v>2203</v>
      </c>
    </row>
    <row r="4352" spans="1:3" x14ac:dyDescent="0.2">
      <c r="A4352" t="s">
        <v>6722</v>
      </c>
      <c r="B4352" t="s">
        <v>1331</v>
      </c>
      <c r="C4352" t="s">
        <v>2203</v>
      </c>
    </row>
    <row r="4353" spans="1:3" x14ac:dyDescent="0.2">
      <c r="A4353" t="s">
        <v>2559</v>
      </c>
      <c r="B4353" t="s">
        <v>1331</v>
      </c>
      <c r="C4353" t="s">
        <v>2203</v>
      </c>
    </row>
    <row r="4354" spans="1:3" x14ac:dyDescent="0.2">
      <c r="A4354" t="s">
        <v>2560</v>
      </c>
      <c r="B4354" t="s">
        <v>1331</v>
      </c>
      <c r="C4354" t="s">
        <v>2203</v>
      </c>
    </row>
    <row r="4355" spans="1:3" x14ac:dyDescent="0.2">
      <c r="A4355" t="s">
        <v>5262</v>
      </c>
      <c r="B4355" t="s">
        <v>1331</v>
      </c>
      <c r="C4355" t="s">
        <v>2203</v>
      </c>
    </row>
    <row r="4356" spans="1:3" x14ac:dyDescent="0.2">
      <c r="A4356" t="s">
        <v>4292</v>
      </c>
      <c r="B4356" t="s">
        <v>1331</v>
      </c>
      <c r="C4356" t="s">
        <v>2562</v>
      </c>
    </row>
    <row r="4357" spans="1:3" x14ac:dyDescent="0.2">
      <c r="A4357" t="s">
        <v>4293</v>
      </c>
      <c r="B4357" t="s">
        <v>1331</v>
      </c>
      <c r="C4357" t="s">
        <v>2562</v>
      </c>
    </row>
    <row r="4358" spans="1:3" x14ac:dyDescent="0.2">
      <c r="A4358" t="s">
        <v>2561</v>
      </c>
      <c r="B4358" t="s">
        <v>1331</v>
      </c>
      <c r="C4358" t="s">
        <v>2562</v>
      </c>
    </row>
    <row r="4359" spans="1:3" x14ac:dyDescent="0.2">
      <c r="A4359" t="s">
        <v>2758</v>
      </c>
      <c r="B4359" t="s">
        <v>2759</v>
      </c>
      <c r="C4359" t="s">
        <v>2760</v>
      </c>
    </row>
    <row r="4360" spans="1:3" x14ac:dyDescent="0.2">
      <c r="A4360" t="s">
        <v>2761</v>
      </c>
      <c r="B4360" t="s">
        <v>2759</v>
      </c>
      <c r="C4360" t="s">
        <v>2762</v>
      </c>
    </row>
    <row r="4361" spans="1:3" x14ac:dyDescent="0.2">
      <c r="A4361" t="s">
        <v>4294</v>
      </c>
      <c r="B4361" t="s">
        <v>2759</v>
      </c>
      <c r="C4361" t="s">
        <v>2764</v>
      </c>
    </row>
    <row r="4362" spans="1:3" x14ac:dyDescent="0.2">
      <c r="A4362" t="s">
        <v>2763</v>
      </c>
      <c r="B4362" t="s">
        <v>2759</v>
      </c>
      <c r="C4362" t="s">
        <v>2764</v>
      </c>
    </row>
    <row r="4363" spans="1:3" x14ac:dyDescent="0.2">
      <c r="A4363" t="s">
        <v>4295</v>
      </c>
      <c r="B4363" t="s">
        <v>1331</v>
      </c>
      <c r="C4363" t="s">
        <v>2564</v>
      </c>
    </row>
    <row r="4364" spans="1:3" x14ac:dyDescent="0.2">
      <c r="A4364" t="s">
        <v>2563</v>
      </c>
      <c r="B4364" t="s">
        <v>1331</v>
      </c>
      <c r="C4364" t="s">
        <v>2564</v>
      </c>
    </row>
    <row r="4365" spans="1:3" x14ac:dyDescent="0.2">
      <c r="A4365" t="s">
        <v>4296</v>
      </c>
      <c r="B4365" t="s">
        <v>1331</v>
      </c>
      <c r="C4365" t="s">
        <v>2564</v>
      </c>
    </row>
    <row r="4366" spans="1:3" x14ac:dyDescent="0.2">
      <c r="A4366" t="s">
        <v>4297</v>
      </c>
      <c r="B4366" t="s">
        <v>1331</v>
      </c>
      <c r="C4366" t="s">
        <v>2564</v>
      </c>
    </row>
    <row r="4367" spans="1:3" x14ac:dyDescent="0.2">
      <c r="A4367" t="s">
        <v>4298</v>
      </c>
      <c r="B4367" t="s">
        <v>1331</v>
      </c>
      <c r="C4367" t="s">
        <v>2564</v>
      </c>
    </row>
    <row r="4368" spans="1:3" x14ac:dyDescent="0.2">
      <c r="A4368" t="s">
        <v>4299</v>
      </c>
      <c r="B4368" t="s">
        <v>1331</v>
      </c>
      <c r="C4368" t="s">
        <v>2564</v>
      </c>
    </row>
    <row r="4369" spans="1:3" x14ac:dyDescent="0.2">
      <c r="A4369" t="s">
        <v>4300</v>
      </c>
      <c r="B4369" t="s">
        <v>1331</v>
      </c>
      <c r="C4369" t="s">
        <v>2564</v>
      </c>
    </row>
    <row r="4370" spans="1:3" x14ac:dyDescent="0.2">
      <c r="A4370" t="s">
        <v>4301</v>
      </c>
      <c r="B4370" t="s">
        <v>1331</v>
      </c>
      <c r="C4370" t="s">
        <v>2564</v>
      </c>
    </row>
    <row r="4371" spans="1:3" x14ac:dyDescent="0.2">
      <c r="A4371" t="s">
        <v>4302</v>
      </c>
      <c r="B4371" t="s">
        <v>1331</v>
      </c>
      <c r="C4371" t="s">
        <v>2564</v>
      </c>
    </row>
    <row r="4372" spans="1:3" x14ac:dyDescent="0.2">
      <c r="A4372" t="s">
        <v>4303</v>
      </c>
      <c r="B4372" t="s">
        <v>1331</v>
      </c>
      <c r="C4372" t="s">
        <v>2564</v>
      </c>
    </row>
    <row r="4373" spans="1:3" x14ac:dyDescent="0.2">
      <c r="A4373" t="s">
        <v>4304</v>
      </c>
      <c r="B4373" t="s">
        <v>1331</v>
      </c>
      <c r="C4373" t="s">
        <v>2564</v>
      </c>
    </row>
    <row r="4374" spans="1:3" x14ac:dyDescent="0.2">
      <c r="A4374" t="s">
        <v>4305</v>
      </c>
      <c r="B4374" t="s">
        <v>1331</v>
      </c>
      <c r="C4374" t="s">
        <v>2564</v>
      </c>
    </row>
    <row r="4375" spans="1:3" x14ac:dyDescent="0.2">
      <c r="A4375" t="s">
        <v>4306</v>
      </c>
      <c r="B4375" t="s">
        <v>1331</v>
      </c>
      <c r="C4375" t="s">
        <v>2564</v>
      </c>
    </row>
    <row r="4376" spans="1:3" x14ac:dyDescent="0.2">
      <c r="A4376" t="s">
        <v>4307</v>
      </c>
      <c r="B4376" t="s">
        <v>1331</v>
      </c>
      <c r="C4376" t="s">
        <v>2564</v>
      </c>
    </row>
    <row r="4377" spans="1:3" x14ac:dyDescent="0.2">
      <c r="A4377" t="s">
        <v>4308</v>
      </c>
      <c r="B4377" t="s">
        <v>1331</v>
      </c>
      <c r="C4377" t="s">
        <v>2564</v>
      </c>
    </row>
    <row r="4378" spans="1:3" x14ac:dyDescent="0.2">
      <c r="A4378" t="s">
        <v>4309</v>
      </c>
      <c r="B4378" t="s">
        <v>1331</v>
      </c>
      <c r="C4378" t="s">
        <v>2564</v>
      </c>
    </row>
    <row r="4379" spans="1:3" x14ac:dyDescent="0.2">
      <c r="A4379" t="s">
        <v>4310</v>
      </c>
      <c r="B4379" t="s">
        <v>1331</v>
      </c>
      <c r="C4379" t="s">
        <v>2564</v>
      </c>
    </row>
    <row r="4380" spans="1:3" x14ac:dyDescent="0.2">
      <c r="A4380" t="s">
        <v>4311</v>
      </c>
      <c r="B4380" t="s">
        <v>1331</v>
      </c>
      <c r="C4380" t="s">
        <v>2564</v>
      </c>
    </row>
    <row r="4381" spans="1:3" x14ac:dyDescent="0.2">
      <c r="A4381" t="s">
        <v>4312</v>
      </c>
      <c r="B4381" t="s">
        <v>1331</v>
      </c>
      <c r="C4381" t="s">
        <v>2564</v>
      </c>
    </row>
    <row r="4382" spans="1:3" x14ac:dyDescent="0.2">
      <c r="A4382" t="s">
        <v>4313</v>
      </c>
      <c r="B4382" t="s">
        <v>1331</v>
      </c>
      <c r="C4382" t="s">
        <v>2564</v>
      </c>
    </row>
    <row r="4383" spans="1:3" x14ac:dyDescent="0.2">
      <c r="A4383" t="s">
        <v>4314</v>
      </c>
      <c r="B4383" t="s">
        <v>1331</v>
      </c>
      <c r="C4383" t="s">
        <v>2564</v>
      </c>
    </row>
    <row r="4384" spans="1:3" x14ac:dyDescent="0.2">
      <c r="A4384" t="s">
        <v>4315</v>
      </c>
      <c r="B4384" t="s">
        <v>1331</v>
      </c>
      <c r="C4384" t="s">
        <v>2564</v>
      </c>
    </row>
    <row r="4385" spans="1:3" x14ac:dyDescent="0.2">
      <c r="A4385" t="s">
        <v>4316</v>
      </c>
      <c r="B4385" t="s">
        <v>1331</v>
      </c>
      <c r="C4385" t="s">
        <v>2564</v>
      </c>
    </row>
    <row r="4386" spans="1:3" x14ac:dyDescent="0.2">
      <c r="A4386" t="s">
        <v>4317</v>
      </c>
      <c r="B4386" t="s">
        <v>1331</v>
      </c>
      <c r="C4386" t="s">
        <v>2564</v>
      </c>
    </row>
    <row r="4387" spans="1:3" x14ac:dyDescent="0.2">
      <c r="A4387" t="s">
        <v>4318</v>
      </c>
      <c r="B4387" t="s">
        <v>1331</v>
      </c>
      <c r="C4387" t="s">
        <v>2564</v>
      </c>
    </row>
    <row r="4388" spans="1:3" x14ac:dyDescent="0.2">
      <c r="A4388" t="s">
        <v>4319</v>
      </c>
      <c r="B4388" t="s">
        <v>1331</v>
      </c>
      <c r="C4388" t="s">
        <v>2564</v>
      </c>
    </row>
    <row r="4389" spans="1:3" x14ac:dyDescent="0.2">
      <c r="A4389" t="s">
        <v>4320</v>
      </c>
      <c r="B4389" t="s">
        <v>1331</v>
      </c>
      <c r="C4389" t="s">
        <v>2564</v>
      </c>
    </row>
    <row r="4390" spans="1:3" x14ac:dyDescent="0.2">
      <c r="A4390" t="s">
        <v>4321</v>
      </c>
      <c r="B4390" t="s">
        <v>1331</v>
      </c>
      <c r="C4390" t="s">
        <v>2564</v>
      </c>
    </row>
    <row r="4391" spans="1:3" x14ac:dyDescent="0.2">
      <c r="A4391" t="s">
        <v>4322</v>
      </c>
      <c r="B4391" t="s">
        <v>1331</v>
      </c>
      <c r="C4391" t="s">
        <v>2564</v>
      </c>
    </row>
    <row r="4392" spans="1:3" x14ac:dyDescent="0.2">
      <c r="A4392" t="s">
        <v>4323</v>
      </c>
      <c r="B4392" t="s">
        <v>1331</v>
      </c>
      <c r="C4392" t="s">
        <v>2564</v>
      </c>
    </row>
    <row r="4393" spans="1:3" x14ac:dyDescent="0.2">
      <c r="A4393" t="s">
        <v>4324</v>
      </c>
      <c r="B4393" t="s">
        <v>1331</v>
      </c>
      <c r="C4393" t="s">
        <v>2564</v>
      </c>
    </row>
    <row r="4394" spans="1:3" x14ac:dyDescent="0.2">
      <c r="A4394" t="s">
        <v>4325</v>
      </c>
      <c r="B4394" t="s">
        <v>1331</v>
      </c>
      <c r="C4394" t="s">
        <v>2564</v>
      </c>
    </row>
    <row r="4395" spans="1:3" x14ac:dyDescent="0.2">
      <c r="A4395" t="s">
        <v>4326</v>
      </c>
      <c r="B4395" t="s">
        <v>1331</v>
      </c>
      <c r="C4395" t="s">
        <v>2564</v>
      </c>
    </row>
    <row r="4396" spans="1:3" x14ac:dyDescent="0.2">
      <c r="A4396" t="s">
        <v>4327</v>
      </c>
      <c r="B4396" t="s">
        <v>1331</v>
      </c>
      <c r="C4396" t="s">
        <v>2564</v>
      </c>
    </row>
    <row r="4397" spans="1:3" x14ac:dyDescent="0.2">
      <c r="A4397" t="s">
        <v>4328</v>
      </c>
      <c r="B4397" t="s">
        <v>1331</v>
      </c>
      <c r="C4397" t="s">
        <v>2564</v>
      </c>
    </row>
    <row r="4398" spans="1:3" x14ac:dyDescent="0.2">
      <c r="A4398" t="s">
        <v>2565</v>
      </c>
      <c r="B4398" t="s">
        <v>1331</v>
      </c>
      <c r="C4398" t="s">
        <v>2564</v>
      </c>
    </row>
    <row r="4399" spans="1:3" x14ac:dyDescent="0.2">
      <c r="A4399" t="s">
        <v>2566</v>
      </c>
      <c r="B4399" t="s">
        <v>1331</v>
      </c>
      <c r="C4399" t="s">
        <v>2564</v>
      </c>
    </row>
    <row r="4400" spans="1:3" x14ac:dyDescent="0.2">
      <c r="A4400" t="s">
        <v>2567</v>
      </c>
      <c r="B4400" t="s">
        <v>1331</v>
      </c>
      <c r="C4400" t="s">
        <v>2564</v>
      </c>
    </row>
    <row r="4401" spans="1:3" x14ac:dyDescent="0.2">
      <c r="A4401" t="s">
        <v>2568</v>
      </c>
      <c r="B4401" t="s">
        <v>1331</v>
      </c>
      <c r="C4401" t="s">
        <v>2564</v>
      </c>
    </row>
    <row r="4402" spans="1:3" x14ac:dyDescent="0.2">
      <c r="A4402" t="s">
        <v>2569</v>
      </c>
      <c r="B4402" t="s">
        <v>1331</v>
      </c>
      <c r="C4402" t="s">
        <v>2564</v>
      </c>
    </row>
    <row r="4403" spans="1:3" x14ac:dyDescent="0.2">
      <c r="A4403" t="s">
        <v>2570</v>
      </c>
      <c r="B4403" t="s">
        <v>1331</v>
      </c>
      <c r="C4403" t="s">
        <v>2564</v>
      </c>
    </row>
    <row r="4404" spans="1:3" x14ac:dyDescent="0.2">
      <c r="A4404" t="s">
        <v>2571</v>
      </c>
      <c r="B4404" t="s">
        <v>1331</v>
      </c>
      <c r="C4404" t="s">
        <v>2564</v>
      </c>
    </row>
    <row r="4405" spans="1:3" x14ac:dyDescent="0.2">
      <c r="A4405" t="s">
        <v>2572</v>
      </c>
      <c r="B4405" t="s">
        <v>1331</v>
      </c>
      <c r="C4405" t="s">
        <v>2564</v>
      </c>
    </row>
    <row r="4406" spans="1:3" x14ac:dyDescent="0.2">
      <c r="A4406" t="s">
        <v>2573</v>
      </c>
      <c r="B4406" t="s">
        <v>1331</v>
      </c>
      <c r="C4406" t="s">
        <v>2564</v>
      </c>
    </row>
    <row r="4407" spans="1:3" x14ac:dyDescent="0.2">
      <c r="A4407" t="s">
        <v>2574</v>
      </c>
      <c r="B4407" t="s">
        <v>1331</v>
      </c>
      <c r="C4407" t="s">
        <v>2564</v>
      </c>
    </row>
    <row r="4408" spans="1:3" x14ac:dyDescent="0.2">
      <c r="A4408" t="s">
        <v>2575</v>
      </c>
      <c r="B4408" t="s">
        <v>1331</v>
      </c>
      <c r="C4408" t="s">
        <v>2564</v>
      </c>
    </row>
    <row r="4409" spans="1:3" x14ac:dyDescent="0.2">
      <c r="A4409" t="s">
        <v>2576</v>
      </c>
      <c r="B4409" t="s">
        <v>1331</v>
      </c>
      <c r="C4409" t="s">
        <v>2564</v>
      </c>
    </row>
    <row r="4410" spans="1:3" x14ac:dyDescent="0.2">
      <c r="A4410" t="s">
        <v>2577</v>
      </c>
      <c r="B4410" t="s">
        <v>1331</v>
      </c>
      <c r="C4410" t="s">
        <v>2564</v>
      </c>
    </row>
    <row r="4411" spans="1:3" x14ac:dyDescent="0.2">
      <c r="A4411" t="s">
        <v>2578</v>
      </c>
      <c r="B4411" t="s">
        <v>1331</v>
      </c>
      <c r="C4411" t="s">
        <v>2564</v>
      </c>
    </row>
    <row r="4412" spans="1:3" x14ac:dyDescent="0.2">
      <c r="A4412" t="s">
        <v>2579</v>
      </c>
      <c r="B4412" t="s">
        <v>1331</v>
      </c>
      <c r="C4412" t="s">
        <v>2564</v>
      </c>
    </row>
    <row r="4413" spans="1:3" x14ac:dyDescent="0.2">
      <c r="A4413" t="s">
        <v>2580</v>
      </c>
      <c r="B4413" t="s">
        <v>1331</v>
      </c>
      <c r="C4413" t="s">
        <v>2564</v>
      </c>
    </row>
    <row r="4414" spans="1:3" x14ac:dyDescent="0.2">
      <c r="A4414" t="s">
        <v>2581</v>
      </c>
      <c r="B4414" t="s">
        <v>1331</v>
      </c>
      <c r="C4414" t="s">
        <v>2564</v>
      </c>
    </row>
    <row r="4415" spans="1:3" x14ac:dyDescent="0.2">
      <c r="A4415" t="s">
        <v>2582</v>
      </c>
      <c r="B4415" t="s">
        <v>1331</v>
      </c>
      <c r="C4415" t="s">
        <v>2564</v>
      </c>
    </row>
    <row r="4416" spans="1:3" x14ac:dyDescent="0.2">
      <c r="A4416" t="s">
        <v>2583</v>
      </c>
      <c r="B4416" t="s">
        <v>1331</v>
      </c>
      <c r="C4416" t="s">
        <v>2564</v>
      </c>
    </row>
    <row r="4417" spans="1:3" x14ac:dyDescent="0.2">
      <c r="A4417" t="s">
        <v>2584</v>
      </c>
      <c r="B4417" t="s">
        <v>1331</v>
      </c>
      <c r="C4417" t="s">
        <v>2564</v>
      </c>
    </row>
    <row r="4418" spans="1:3" x14ac:dyDescent="0.2">
      <c r="A4418" t="s">
        <v>2585</v>
      </c>
      <c r="B4418" t="s">
        <v>1331</v>
      </c>
      <c r="C4418" t="s">
        <v>2564</v>
      </c>
    </row>
    <row r="4419" spans="1:3" x14ac:dyDescent="0.2">
      <c r="A4419" t="s">
        <v>2586</v>
      </c>
      <c r="B4419" t="s">
        <v>1331</v>
      </c>
      <c r="C4419" t="s">
        <v>2564</v>
      </c>
    </row>
    <row r="4420" spans="1:3" x14ac:dyDescent="0.2">
      <c r="A4420" t="s">
        <v>2587</v>
      </c>
      <c r="B4420" t="s">
        <v>1331</v>
      </c>
      <c r="C4420" t="s">
        <v>2564</v>
      </c>
    </row>
    <row r="4421" spans="1:3" x14ac:dyDescent="0.2">
      <c r="A4421" t="s">
        <v>2588</v>
      </c>
      <c r="B4421" t="s">
        <v>1331</v>
      </c>
      <c r="C4421" t="s">
        <v>2564</v>
      </c>
    </row>
    <row r="4422" spans="1:3" x14ac:dyDescent="0.2">
      <c r="A4422" t="s">
        <v>2589</v>
      </c>
      <c r="B4422" t="s">
        <v>1331</v>
      </c>
      <c r="C4422" t="s">
        <v>2564</v>
      </c>
    </row>
    <row r="4423" spans="1:3" x14ac:dyDescent="0.2">
      <c r="A4423" t="s">
        <v>2590</v>
      </c>
      <c r="B4423" t="s">
        <v>1331</v>
      </c>
      <c r="C4423" t="s">
        <v>2564</v>
      </c>
    </row>
    <row r="4424" spans="1:3" x14ac:dyDescent="0.2">
      <c r="A4424" t="s">
        <v>2591</v>
      </c>
      <c r="B4424" t="s">
        <v>1331</v>
      </c>
      <c r="C4424" t="s">
        <v>2564</v>
      </c>
    </row>
    <row r="4425" spans="1:3" x14ac:dyDescent="0.2">
      <c r="A4425" t="s">
        <v>2592</v>
      </c>
      <c r="B4425" t="s">
        <v>1331</v>
      </c>
      <c r="C4425" t="s">
        <v>2564</v>
      </c>
    </row>
    <row r="4426" spans="1:3" x14ac:dyDescent="0.2">
      <c r="A4426" t="s">
        <v>2593</v>
      </c>
      <c r="B4426" t="s">
        <v>1331</v>
      </c>
      <c r="C4426" t="s">
        <v>2564</v>
      </c>
    </row>
    <row r="4427" spans="1:3" x14ac:dyDescent="0.2">
      <c r="A4427" t="s">
        <v>2594</v>
      </c>
      <c r="B4427" t="s">
        <v>1331</v>
      </c>
      <c r="C4427" t="s">
        <v>2564</v>
      </c>
    </row>
    <row r="4428" spans="1:3" x14ac:dyDescent="0.2">
      <c r="A4428" t="s">
        <v>2595</v>
      </c>
      <c r="B4428" t="s">
        <v>1331</v>
      </c>
      <c r="C4428" t="s">
        <v>2564</v>
      </c>
    </row>
    <row r="4429" spans="1:3" x14ac:dyDescent="0.2">
      <c r="A4429" t="s">
        <v>2596</v>
      </c>
      <c r="B4429" t="s">
        <v>1331</v>
      </c>
      <c r="C4429" t="s">
        <v>2564</v>
      </c>
    </row>
    <row r="4430" spans="1:3" x14ac:dyDescent="0.2">
      <c r="A4430" t="s">
        <v>2597</v>
      </c>
      <c r="B4430" t="s">
        <v>1331</v>
      </c>
      <c r="C4430" t="s">
        <v>2564</v>
      </c>
    </row>
    <row r="4431" spans="1:3" x14ac:dyDescent="0.2">
      <c r="A4431" t="s">
        <v>2598</v>
      </c>
      <c r="B4431" t="s">
        <v>1331</v>
      </c>
      <c r="C4431" t="s">
        <v>2564</v>
      </c>
    </row>
    <row r="4432" spans="1:3" x14ac:dyDescent="0.2">
      <c r="A4432" t="s">
        <v>2599</v>
      </c>
      <c r="B4432" t="s">
        <v>1331</v>
      </c>
      <c r="C4432" t="s">
        <v>2564</v>
      </c>
    </row>
    <row r="4433" spans="1:3" x14ac:dyDescent="0.2">
      <c r="A4433" t="s">
        <v>2600</v>
      </c>
      <c r="B4433" t="s">
        <v>1331</v>
      </c>
      <c r="C4433" t="s">
        <v>2564</v>
      </c>
    </row>
    <row r="4434" spans="1:3" x14ac:dyDescent="0.2">
      <c r="A4434" t="s">
        <v>2601</v>
      </c>
      <c r="B4434" t="s">
        <v>1331</v>
      </c>
      <c r="C4434" t="s">
        <v>2564</v>
      </c>
    </row>
    <row r="4435" spans="1:3" x14ac:dyDescent="0.2">
      <c r="A4435" t="s">
        <v>2602</v>
      </c>
      <c r="B4435" t="s">
        <v>1331</v>
      </c>
      <c r="C4435" t="s">
        <v>2564</v>
      </c>
    </row>
    <row r="4436" spans="1:3" x14ac:dyDescent="0.2">
      <c r="A4436" t="s">
        <v>2603</v>
      </c>
      <c r="B4436" t="s">
        <v>1331</v>
      </c>
      <c r="C4436" t="s">
        <v>2564</v>
      </c>
    </row>
    <row r="4437" spans="1:3" x14ac:dyDescent="0.2">
      <c r="A4437" t="s">
        <v>2604</v>
      </c>
      <c r="B4437" t="s">
        <v>1331</v>
      </c>
      <c r="C4437" t="s">
        <v>2564</v>
      </c>
    </row>
    <row r="4438" spans="1:3" x14ac:dyDescent="0.2">
      <c r="A4438" t="s">
        <v>2605</v>
      </c>
      <c r="B4438" t="s">
        <v>1331</v>
      </c>
      <c r="C4438" t="s">
        <v>2564</v>
      </c>
    </row>
    <row r="4439" spans="1:3" x14ac:dyDescent="0.2">
      <c r="A4439" t="s">
        <v>2606</v>
      </c>
      <c r="B4439" t="s">
        <v>1331</v>
      </c>
      <c r="C4439" t="s">
        <v>2564</v>
      </c>
    </row>
    <row r="4440" spans="1:3" x14ac:dyDescent="0.2">
      <c r="A4440" t="s">
        <v>2607</v>
      </c>
      <c r="B4440" t="s">
        <v>1331</v>
      </c>
      <c r="C4440" t="s">
        <v>2564</v>
      </c>
    </row>
    <row r="4441" spans="1:3" x14ac:dyDescent="0.2">
      <c r="A4441" t="s">
        <v>2608</v>
      </c>
      <c r="B4441" t="s">
        <v>1331</v>
      </c>
      <c r="C4441" t="s">
        <v>2564</v>
      </c>
    </row>
    <row r="4442" spans="1:3" x14ac:dyDescent="0.2">
      <c r="A4442" t="s">
        <v>2609</v>
      </c>
      <c r="B4442" t="s">
        <v>1331</v>
      </c>
      <c r="C4442" t="s">
        <v>2564</v>
      </c>
    </row>
    <row r="4443" spans="1:3" x14ac:dyDescent="0.2">
      <c r="A4443" t="s">
        <v>2610</v>
      </c>
      <c r="B4443" t="s">
        <v>1331</v>
      </c>
      <c r="C4443" t="s">
        <v>2564</v>
      </c>
    </row>
    <row r="4444" spans="1:3" x14ac:dyDescent="0.2">
      <c r="A4444" t="s">
        <v>2611</v>
      </c>
      <c r="B4444" t="s">
        <v>1331</v>
      </c>
      <c r="C4444" t="s">
        <v>2564</v>
      </c>
    </row>
    <row r="4445" spans="1:3" x14ac:dyDescent="0.2">
      <c r="A4445" t="s">
        <v>4606</v>
      </c>
      <c r="B4445" t="s">
        <v>1331</v>
      </c>
      <c r="C4445" t="s">
        <v>2564</v>
      </c>
    </row>
    <row r="4446" spans="1:3" x14ac:dyDescent="0.2">
      <c r="A4446" t="s">
        <v>4607</v>
      </c>
      <c r="B4446" t="s">
        <v>1331</v>
      </c>
      <c r="C4446" t="s">
        <v>2564</v>
      </c>
    </row>
    <row r="4447" spans="1:3" x14ac:dyDescent="0.2">
      <c r="A4447" t="s">
        <v>4608</v>
      </c>
      <c r="B4447" t="s">
        <v>1331</v>
      </c>
      <c r="C4447" t="s">
        <v>2564</v>
      </c>
    </row>
    <row r="4448" spans="1:3" x14ac:dyDescent="0.2">
      <c r="A4448" t="s">
        <v>4732</v>
      </c>
      <c r="B4448" t="s">
        <v>1331</v>
      </c>
      <c r="C4448" t="s">
        <v>2564</v>
      </c>
    </row>
    <row r="4449" spans="1:3" x14ac:dyDescent="0.2">
      <c r="A4449" t="s">
        <v>4733</v>
      </c>
      <c r="B4449" t="s">
        <v>1331</v>
      </c>
      <c r="C4449" t="s">
        <v>2564</v>
      </c>
    </row>
    <row r="4450" spans="1:3" x14ac:dyDescent="0.2">
      <c r="A4450" t="s">
        <v>4734</v>
      </c>
      <c r="B4450" t="s">
        <v>1331</v>
      </c>
      <c r="C4450" t="s">
        <v>2564</v>
      </c>
    </row>
    <row r="4451" spans="1:3" x14ac:dyDescent="0.2">
      <c r="A4451" t="s">
        <v>4735</v>
      </c>
      <c r="B4451" t="s">
        <v>1331</v>
      </c>
      <c r="C4451" t="s">
        <v>2564</v>
      </c>
    </row>
    <row r="4452" spans="1:3" x14ac:dyDescent="0.2">
      <c r="A4452" t="s">
        <v>4736</v>
      </c>
      <c r="B4452" t="s">
        <v>1331</v>
      </c>
      <c r="C4452" t="s">
        <v>2564</v>
      </c>
    </row>
    <row r="4453" spans="1:3" x14ac:dyDescent="0.2">
      <c r="A4453" t="s">
        <v>4737</v>
      </c>
      <c r="B4453" t="s">
        <v>1331</v>
      </c>
      <c r="C4453" t="s">
        <v>2564</v>
      </c>
    </row>
    <row r="4454" spans="1:3" x14ac:dyDescent="0.2">
      <c r="A4454" t="s">
        <v>4738</v>
      </c>
      <c r="B4454" t="s">
        <v>1331</v>
      </c>
      <c r="C4454" t="s">
        <v>2564</v>
      </c>
    </row>
    <row r="4455" spans="1:3" x14ac:dyDescent="0.2">
      <c r="A4455" t="s">
        <v>4990</v>
      </c>
      <c r="B4455" t="s">
        <v>1331</v>
      </c>
      <c r="C4455" t="s">
        <v>2564</v>
      </c>
    </row>
    <row r="4456" spans="1:3" x14ac:dyDescent="0.2">
      <c r="A4456" t="s">
        <v>4991</v>
      </c>
      <c r="B4456" t="s">
        <v>1331</v>
      </c>
      <c r="C4456" t="s">
        <v>2564</v>
      </c>
    </row>
    <row r="4457" spans="1:3" x14ac:dyDescent="0.2">
      <c r="A4457" t="s">
        <v>4992</v>
      </c>
      <c r="B4457" t="s">
        <v>1331</v>
      </c>
      <c r="C4457" t="s">
        <v>2564</v>
      </c>
    </row>
    <row r="4458" spans="1:3" x14ac:dyDescent="0.2">
      <c r="A4458" t="s">
        <v>4993</v>
      </c>
      <c r="B4458" t="s">
        <v>1331</v>
      </c>
      <c r="C4458" t="s">
        <v>2564</v>
      </c>
    </row>
    <row r="4459" spans="1:3" x14ac:dyDescent="0.2">
      <c r="A4459" t="s">
        <v>4994</v>
      </c>
      <c r="B4459" t="s">
        <v>1331</v>
      </c>
      <c r="C4459" t="s">
        <v>2564</v>
      </c>
    </row>
    <row r="4460" spans="1:3" x14ac:dyDescent="0.2">
      <c r="A4460" t="s">
        <v>4995</v>
      </c>
      <c r="B4460" t="s">
        <v>1331</v>
      </c>
      <c r="C4460" t="s">
        <v>2564</v>
      </c>
    </row>
    <row r="4461" spans="1:3" x14ac:dyDescent="0.2">
      <c r="A4461" t="s">
        <v>4996</v>
      </c>
      <c r="B4461" t="s">
        <v>1331</v>
      </c>
      <c r="C4461" t="s">
        <v>2564</v>
      </c>
    </row>
    <row r="4462" spans="1:3" x14ac:dyDescent="0.2">
      <c r="A4462" t="s">
        <v>5119</v>
      </c>
      <c r="B4462" t="s">
        <v>1331</v>
      </c>
      <c r="C4462" t="s">
        <v>2564</v>
      </c>
    </row>
    <row r="4463" spans="1:3" x14ac:dyDescent="0.2">
      <c r="A4463" t="s">
        <v>5120</v>
      </c>
      <c r="B4463" t="s">
        <v>1331</v>
      </c>
      <c r="C4463" t="s">
        <v>2564</v>
      </c>
    </row>
    <row r="4464" spans="1:3" x14ac:dyDescent="0.2">
      <c r="A4464" t="s">
        <v>5121</v>
      </c>
      <c r="B4464" t="s">
        <v>1331</v>
      </c>
      <c r="C4464" t="s">
        <v>2564</v>
      </c>
    </row>
    <row r="4465" spans="1:3" x14ac:dyDescent="0.2">
      <c r="A4465" t="s">
        <v>5122</v>
      </c>
      <c r="B4465" t="s">
        <v>1331</v>
      </c>
      <c r="C4465" t="s">
        <v>2564</v>
      </c>
    </row>
    <row r="4466" spans="1:3" x14ac:dyDescent="0.2">
      <c r="A4466" t="s">
        <v>5249</v>
      </c>
      <c r="B4466" t="s">
        <v>1331</v>
      </c>
      <c r="C4466" t="s">
        <v>2564</v>
      </c>
    </row>
    <row r="4467" spans="1:3" x14ac:dyDescent="0.2">
      <c r="A4467" t="s">
        <v>5250</v>
      </c>
      <c r="B4467" t="s">
        <v>1331</v>
      </c>
      <c r="C4467" t="s">
        <v>2564</v>
      </c>
    </row>
    <row r="4468" spans="1:3" x14ac:dyDescent="0.2">
      <c r="A4468" t="s">
        <v>5251</v>
      </c>
      <c r="B4468" t="s">
        <v>1331</v>
      </c>
      <c r="C4468" t="s">
        <v>2564</v>
      </c>
    </row>
    <row r="4469" spans="1:3" x14ac:dyDescent="0.2">
      <c r="A4469" t="s">
        <v>5252</v>
      </c>
      <c r="B4469" t="s">
        <v>1331</v>
      </c>
      <c r="C4469" t="s">
        <v>2564</v>
      </c>
    </row>
    <row r="4470" spans="1:3" x14ac:dyDescent="0.2">
      <c r="A4470" t="s">
        <v>5539</v>
      </c>
      <c r="B4470" t="s">
        <v>1331</v>
      </c>
      <c r="C4470" t="s">
        <v>2564</v>
      </c>
    </row>
    <row r="4471" spans="1:3" x14ac:dyDescent="0.2">
      <c r="A4471" t="s">
        <v>5540</v>
      </c>
      <c r="B4471" t="s">
        <v>1331</v>
      </c>
      <c r="C4471" t="s">
        <v>2564</v>
      </c>
    </row>
    <row r="4472" spans="1:3" x14ac:dyDescent="0.2">
      <c r="A4472" t="s">
        <v>5541</v>
      </c>
      <c r="B4472" t="s">
        <v>1331</v>
      </c>
      <c r="C4472" t="s">
        <v>2564</v>
      </c>
    </row>
    <row r="4473" spans="1:3" x14ac:dyDescent="0.2">
      <c r="A4473" t="s">
        <v>5542</v>
      </c>
      <c r="B4473" t="s">
        <v>1331</v>
      </c>
      <c r="C4473" t="s">
        <v>2564</v>
      </c>
    </row>
    <row r="4474" spans="1:3" x14ac:dyDescent="0.2">
      <c r="A4474" t="s">
        <v>5638</v>
      </c>
      <c r="B4474" t="s">
        <v>1331</v>
      </c>
      <c r="C4474" t="s">
        <v>2564</v>
      </c>
    </row>
    <row r="4475" spans="1:3" x14ac:dyDescent="0.2">
      <c r="A4475" t="s">
        <v>5639</v>
      </c>
      <c r="B4475" t="s">
        <v>1331</v>
      </c>
      <c r="C4475" t="s">
        <v>2564</v>
      </c>
    </row>
    <row r="4476" spans="1:3" x14ac:dyDescent="0.2">
      <c r="A4476" t="s">
        <v>5640</v>
      </c>
      <c r="B4476" t="s">
        <v>1331</v>
      </c>
      <c r="C4476" t="s">
        <v>2564</v>
      </c>
    </row>
    <row r="4477" spans="1:3" x14ac:dyDescent="0.2">
      <c r="A4477" t="s">
        <v>5641</v>
      </c>
      <c r="B4477" t="s">
        <v>1331</v>
      </c>
      <c r="C4477" t="s">
        <v>2564</v>
      </c>
    </row>
    <row r="4478" spans="1:3" x14ac:dyDescent="0.2">
      <c r="A4478" t="s">
        <v>5746</v>
      </c>
      <c r="B4478" t="s">
        <v>1331</v>
      </c>
      <c r="C4478" t="s">
        <v>2564</v>
      </c>
    </row>
    <row r="4479" spans="1:3" x14ac:dyDescent="0.2">
      <c r="A4479" t="s">
        <v>5747</v>
      </c>
      <c r="B4479" t="s">
        <v>1331</v>
      </c>
      <c r="C4479" t="s">
        <v>2564</v>
      </c>
    </row>
    <row r="4480" spans="1:3" x14ac:dyDescent="0.2">
      <c r="A4480" t="s">
        <v>5748</v>
      </c>
      <c r="B4480" t="s">
        <v>1331</v>
      </c>
      <c r="C4480" t="s">
        <v>2564</v>
      </c>
    </row>
    <row r="4481" spans="1:3" x14ac:dyDescent="0.2">
      <c r="A4481" t="s">
        <v>5749</v>
      </c>
      <c r="B4481" t="s">
        <v>1331</v>
      </c>
      <c r="C4481" t="s">
        <v>2564</v>
      </c>
    </row>
    <row r="4482" spans="1:3" x14ac:dyDescent="0.2">
      <c r="A4482" t="s">
        <v>5941</v>
      </c>
      <c r="B4482" t="s">
        <v>1331</v>
      </c>
      <c r="C4482" t="s">
        <v>2564</v>
      </c>
    </row>
    <row r="4483" spans="1:3" x14ac:dyDescent="0.2">
      <c r="A4483" t="s">
        <v>5942</v>
      </c>
      <c r="B4483" t="s">
        <v>1331</v>
      </c>
      <c r="C4483" t="s">
        <v>2564</v>
      </c>
    </row>
    <row r="4484" spans="1:3" x14ac:dyDescent="0.2">
      <c r="A4484" t="s">
        <v>5943</v>
      </c>
      <c r="B4484" t="s">
        <v>1331</v>
      </c>
      <c r="C4484" t="s">
        <v>2564</v>
      </c>
    </row>
    <row r="4485" spans="1:3" x14ac:dyDescent="0.2">
      <c r="A4485" t="s">
        <v>5944</v>
      </c>
      <c r="B4485" t="s">
        <v>1331</v>
      </c>
      <c r="C4485" t="s">
        <v>2564</v>
      </c>
    </row>
    <row r="4486" spans="1:3" x14ac:dyDescent="0.2">
      <c r="A4486" t="s">
        <v>5945</v>
      </c>
      <c r="B4486" t="s">
        <v>1331</v>
      </c>
      <c r="C4486" t="s">
        <v>2564</v>
      </c>
    </row>
    <row r="4487" spans="1:3" x14ac:dyDescent="0.2">
      <c r="A4487" t="s">
        <v>6788</v>
      </c>
      <c r="B4487" t="s">
        <v>1331</v>
      </c>
      <c r="C4487" t="s">
        <v>2564</v>
      </c>
    </row>
    <row r="4488" spans="1:3" x14ac:dyDescent="0.2">
      <c r="A4488" t="s">
        <v>6789</v>
      </c>
      <c r="B4488" t="s">
        <v>1331</v>
      </c>
      <c r="C4488" t="s">
        <v>2564</v>
      </c>
    </row>
    <row r="4489" spans="1:3" x14ac:dyDescent="0.2">
      <c r="A4489" t="s">
        <v>6790</v>
      </c>
      <c r="B4489" t="s">
        <v>1331</v>
      </c>
      <c r="C4489" t="s">
        <v>2564</v>
      </c>
    </row>
    <row r="4490" spans="1:3" x14ac:dyDescent="0.2">
      <c r="A4490" t="s">
        <v>6791</v>
      </c>
      <c r="B4490" t="s">
        <v>1331</v>
      </c>
      <c r="C4490" t="s">
        <v>2564</v>
      </c>
    </row>
    <row r="4491" spans="1:3" x14ac:dyDescent="0.2">
      <c r="A4491" t="s">
        <v>6792</v>
      </c>
      <c r="B4491" t="s">
        <v>1331</v>
      </c>
      <c r="C4491" t="s">
        <v>2564</v>
      </c>
    </row>
    <row r="4492" spans="1:3" x14ac:dyDescent="0.2">
      <c r="A4492" t="s">
        <v>6793</v>
      </c>
      <c r="B4492" t="s">
        <v>1331</v>
      </c>
      <c r="C4492" t="s">
        <v>2564</v>
      </c>
    </row>
    <row r="4493" spans="1:3" x14ac:dyDescent="0.2">
      <c r="A4493" t="s">
        <v>4329</v>
      </c>
      <c r="B4493" t="s">
        <v>1331</v>
      </c>
      <c r="C4493" t="s">
        <v>2613</v>
      </c>
    </row>
    <row r="4494" spans="1:3" x14ac:dyDescent="0.2">
      <c r="A4494" t="s">
        <v>2612</v>
      </c>
      <c r="B4494" t="s">
        <v>1331</v>
      </c>
      <c r="C4494" t="s">
        <v>2613</v>
      </c>
    </row>
    <row r="4495" spans="1:3" x14ac:dyDescent="0.2">
      <c r="A4495" t="s">
        <v>2200</v>
      </c>
      <c r="B4495" t="s">
        <v>1331</v>
      </c>
      <c r="C4495" t="s">
        <v>2195</v>
      </c>
    </row>
    <row r="4496" spans="1:3" x14ac:dyDescent="0.2">
      <c r="A4496" t="s">
        <v>2201</v>
      </c>
      <c r="B4496" t="s">
        <v>1331</v>
      </c>
      <c r="C4496" t="s">
        <v>2195</v>
      </c>
    </row>
    <row r="4497" spans="1:3" x14ac:dyDescent="0.2">
      <c r="A4497" t="s">
        <v>4330</v>
      </c>
      <c r="B4497" t="s">
        <v>1331</v>
      </c>
      <c r="C4497" t="s">
        <v>2195</v>
      </c>
    </row>
    <row r="4498" spans="1:3" x14ac:dyDescent="0.2">
      <c r="A4498" t="s">
        <v>2765</v>
      </c>
      <c r="B4498" s="82" t="s">
        <v>7172</v>
      </c>
      <c r="C4498" t="s">
        <v>2766</v>
      </c>
    </row>
    <row r="4499" spans="1:3" x14ac:dyDescent="0.2">
      <c r="A4499" t="s">
        <v>5758</v>
      </c>
      <c r="B4499" s="82" t="s">
        <v>7172</v>
      </c>
      <c r="C4499" t="s">
        <v>2766</v>
      </c>
    </row>
    <row r="4500" spans="1:3" x14ac:dyDescent="0.2">
      <c r="A4500" t="s">
        <v>5759</v>
      </c>
      <c r="B4500" s="82" t="s">
        <v>7172</v>
      </c>
      <c r="C4500" t="s">
        <v>2766</v>
      </c>
    </row>
    <row r="4501" spans="1:3" x14ac:dyDescent="0.2">
      <c r="A4501" t="s">
        <v>2767</v>
      </c>
      <c r="B4501" t="s">
        <v>2768</v>
      </c>
      <c r="C4501" t="s">
        <v>2769</v>
      </c>
    </row>
    <row r="4502" spans="1:3" x14ac:dyDescent="0.2">
      <c r="A4502" t="s">
        <v>2770</v>
      </c>
      <c r="B4502" t="s">
        <v>2768</v>
      </c>
      <c r="C4502" t="s">
        <v>2769</v>
      </c>
    </row>
    <row r="4503" spans="1:3" x14ac:dyDescent="0.2">
      <c r="A4503" t="s">
        <v>2771</v>
      </c>
      <c r="B4503" s="82" t="s">
        <v>7174</v>
      </c>
      <c r="C4503" t="s">
        <v>2772</v>
      </c>
    </row>
    <row r="4504" spans="1:3" x14ac:dyDescent="0.2">
      <c r="A4504" t="s">
        <v>2773</v>
      </c>
      <c r="B4504" s="82" t="s">
        <v>7174</v>
      </c>
      <c r="C4504" t="s">
        <v>2774</v>
      </c>
    </row>
    <row r="4505" spans="1:3" x14ac:dyDescent="0.2">
      <c r="A4505" t="s">
        <v>2775</v>
      </c>
      <c r="B4505" s="82" t="s">
        <v>7175</v>
      </c>
      <c r="C4505" t="s">
        <v>2776</v>
      </c>
    </row>
    <row r="4506" spans="1:3" x14ac:dyDescent="0.2">
      <c r="A4506" t="s">
        <v>4331</v>
      </c>
      <c r="B4506" s="82" t="s">
        <v>7175</v>
      </c>
      <c r="C4506" t="s">
        <v>2780</v>
      </c>
    </row>
    <row r="4507" spans="1:3" x14ac:dyDescent="0.2">
      <c r="A4507" t="s">
        <v>2779</v>
      </c>
      <c r="B4507" s="82" t="s">
        <v>7175</v>
      </c>
      <c r="C4507" t="s">
        <v>2780</v>
      </c>
    </row>
    <row r="4508" spans="1:3" x14ac:dyDescent="0.2">
      <c r="A4508" t="s">
        <v>2781</v>
      </c>
      <c r="B4508" s="82" t="s">
        <v>7175</v>
      </c>
      <c r="C4508" t="s">
        <v>2782</v>
      </c>
    </row>
    <row r="4509" spans="1:3" x14ac:dyDescent="0.2">
      <c r="A4509" t="s">
        <v>4332</v>
      </c>
      <c r="B4509" s="82" t="s">
        <v>7175</v>
      </c>
      <c r="C4509" t="s">
        <v>2784</v>
      </c>
    </row>
    <row r="4510" spans="1:3" x14ac:dyDescent="0.2">
      <c r="A4510" t="s">
        <v>2783</v>
      </c>
      <c r="B4510" s="82" t="s">
        <v>7175</v>
      </c>
      <c r="C4510" t="s">
        <v>2784</v>
      </c>
    </row>
    <row r="4511" spans="1:3" x14ac:dyDescent="0.2">
      <c r="A4511" t="s">
        <v>4333</v>
      </c>
      <c r="B4511" s="82" t="s">
        <v>7175</v>
      </c>
      <c r="C4511" t="s">
        <v>2786</v>
      </c>
    </row>
    <row r="4512" spans="1:3" x14ac:dyDescent="0.2">
      <c r="A4512" t="s">
        <v>2785</v>
      </c>
      <c r="B4512" s="82" t="s">
        <v>7175</v>
      </c>
      <c r="C4512" t="s">
        <v>2786</v>
      </c>
    </row>
    <row r="4513" spans="1:3" x14ac:dyDescent="0.2">
      <c r="A4513" t="s">
        <v>2787</v>
      </c>
      <c r="B4513" s="82" t="s">
        <v>7175</v>
      </c>
      <c r="C4513" t="s">
        <v>2788</v>
      </c>
    </row>
    <row r="4514" spans="1:3" x14ac:dyDescent="0.2">
      <c r="A4514" t="s">
        <v>2789</v>
      </c>
      <c r="B4514" s="82" t="s">
        <v>7175</v>
      </c>
      <c r="C4514" t="s">
        <v>2790</v>
      </c>
    </row>
    <row r="4515" spans="1:3" x14ac:dyDescent="0.2">
      <c r="A4515" t="s">
        <v>2791</v>
      </c>
      <c r="B4515" s="82" t="s">
        <v>7175</v>
      </c>
      <c r="C4515" t="s">
        <v>2792</v>
      </c>
    </row>
    <row r="4516" spans="1:3" x14ac:dyDescent="0.2">
      <c r="A4516" t="s">
        <v>2793</v>
      </c>
      <c r="B4516" s="82" t="s">
        <v>7175</v>
      </c>
      <c r="C4516" t="s">
        <v>2794</v>
      </c>
    </row>
    <row r="4517" spans="1:3" x14ac:dyDescent="0.2">
      <c r="A4517" t="s">
        <v>2777</v>
      </c>
      <c r="B4517" s="82" t="s">
        <v>7175</v>
      </c>
      <c r="C4517" t="s">
        <v>2778</v>
      </c>
    </row>
    <row r="4518" spans="1:3" x14ac:dyDescent="0.2">
      <c r="A4518" t="s">
        <v>2795</v>
      </c>
      <c r="B4518" t="s">
        <v>2796</v>
      </c>
      <c r="C4518" t="s">
        <v>2797</v>
      </c>
    </row>
    <row r="4519" spans="1:3" x14ac:dyDescent="0.2">
      <c r="A4519" t="s">
        <v>2798</v>
      </c>
      <c r="B4519" t="s">
        <v>2796</v>
      </c>
      <c r="C4519" t="s">
        <v>2797</v>
      </c>
    </row>
    <row r="4520" spans="1:3" x14ac:dyDescent="0.2">
      <c r="A4520" t="s">
        <v>2799</v>
      </c>
      <c r="B4520" t="s">
        <v>2800</v>
      </c>
      <c r="C4520" t="s">
        <v>2801</v>
      </c>
    </row>
    <row r="4521" spans="1:3" x14ac:dyDescent="0.2">
      <c r="A4521" t="s">
        <v>2802</v>
      </c>
      <c r="B4521" t="s">
        <v>2803</v>
      </c>
      <c r="C4521" t="s">
        <v>2804</v>
      </c>
    </row>
    <row r="4522" spans="1:3" x14ac:dyDescent="0.2">
      <c r="A4522" t="s">
        <v>2805</v>
      </c>
      <c r="B4522" t="s">
        <v>2803</v>
      </c>
      <c r="C4522" t="s">
        <v>2804</v>
      </c>
    </row>
    <row r="4523" spans="1:3" x14ac:dyDescent="0.2">
      <c r="A4523" t="s">
        <v>4334</v>
      </c>
      <c r="B4523" t="s">
        <v>2807</v>
      </c>
      <c r="C4523" t="s">
        <v>2808</v>
      </c>
    </row>
    <row r="4524" spans="1:3" x14ac:dyDescent="0.2">
      <c r="A4524" t="s">
        <v>2806</v>
      </c>
      <c r="B4524" t="s">
        <v>2807</v>
      </c>
      <c r="C4524" t="s">
        <v>2808</v>
      </c>
    </row>
    <row r="4525" spans="1:3" x14ac:dyDescent="0.2">
      <c r="A4525" t="s">
        <v>4335</v>
      </c>
      <c r="B4525" t="s">
        <v>2810</v>
      </c>
      <c r="C4525" t="s">
        <v>2811</v>
      </c>
    </row>
    <row r="4526" spans="1:3" x14ac:dyDescent="0.2">
      <c r="A4526" t="s">
        <v>2809</v>
      </c>
      <c r="B4526" t="s">
        <v>2810</v>
      </c>
      <c r="C4526" t="s">
        <v>2811</v>
      </c>
    </row>
    <row r="4527" spans="1:3" x14ac:dyDescent="0.2">
      <c r="A4527" t="s">
        <v>4336</v>
      </c>
      <c r="B4527" t="s">
        <v>2810</v>
      </c>
      <c r="C4527" t="s">
        <v>4612</v>
      </c>
    </row>
    <row r="4528" spans="1:3" x14ac:dyDescent="0.2">
      <c r="A4528" t="s">
        <v>6794</v>
      </c>
      <c r="B4528" t="s">
        <v>2813</v>
      </c>
      <c r="C4528" t="s">
        <v>2814</v>
      </c>
    </row>
    <row r="4529" spans="1:3" x14ac:dyDescent="0.2">
      <c r="A4529" t="s">
        <v>2812</v>
      </c>
      <c r="B4529" t="s">
        <v>2813</v>
      </c>
      <c r="C4529" t="s">
        <v>2814</v>
      </c>
    </row>
    <row r="4530" spans="1:3" x14ac:dyDescent="0.2">
      <c r="A4530" t="s">
        <v>2815</v>
      </c>
      <c r="B4530" t="s">
        <v>2813</v>
      </c>
      <c r="C4530" t="s">
        <v>2814</v>
      </c>
    </row>
    <row r="4531" spans="1:3" x14ac:dyDescent="0.2">
      <c r="A4531" t="s">
        <v>2816</v>
      </c>
      <c r="B4531" t="s">
        <v>2813</v>
      </c>
      <c r="C4531" t="s">
        <v>2814</v>
      </c>
    </row>
    <row r="4532" spans="1:3" x14ac:dyDescent="0.2">
      <c r="A4532" t="s">
        <v>2817</v>
      </c>
      <c r="B4532" t="s">
        <v>2813</v>
      </c>
      <c r="C4532" t="s">
        <v>2818</v>
      </c>
    </row>
    <row r="4533" spans="1:3" x14ac:dyDescent="0.2">
      <c r="A4533" t="s">
        <v>2819</v>
      </c>
      <c r="B4533" t="s">
        <v>2813</v>
      </c>
      <c r="C4533" t="s">
        <v>2820</v>
      </c>
    </row>
    <row r="4534" spans="1:3" x14ac:dyDescent="0.2">
      <c r="A4534" t="s">
        <v>2821</v>
      </c>
      <c r="B4534" t="s">
        <v>2813</v>
      </c>
      <c r="C4534" t="s">
        <v>2814</v>
      </c>
    </row>
    <row r="4535" spans="1:3" x14ac:dyDescent="0.2">
      <c r="A4535" t="s">
        <v>5263</v>
      </c>
      <c r="B4535" t="s">
        <v>2813</v>
      </c>
      <c r="C4535" t="s">
        <v>2814</v>
      </c>
    </row>
    <row r="4536" spans="1:3" x14ac:dyDescent="0.2">
      <c r="A4536" t="s">
        <v>4741</v>
      </c>
      <c r="B4536" t="s">
        <v>2823</v>
      </c>
      <c r="C4536" t="s">
        <v>2824</v>
      </c>
    </row>
    <row r="4537" spans="1:3" x14ac:dyDescent="0.2">
      <c r="A4537" t="s">
        <v>2822</v>
      </c>
      <c r="B4537" t="s">
        <v>2823</v>
      </c>
      <c r="C4537" t="s">
        <v>2824</v>
      </c>
    </row>
    <row r="4538" spans="1:3" x14ac:dyDescent="0.2">
      <c r="A4538" t="s">
        <v>2825</v>
      </c>
      <c r="B4538" t="s">
        <v>2823</v>
      </c>
      <c r="C4538" t="s">
        <v>2826</v>
      </c>
    </row>
    <row r="4539" spans="1:3" x14ac:dyDescent="0.2">
      <c r="A4539" t="s">
        <v>2827</v>
      </c>
      <c r="B4539" t="s">
        <v>2823</v>
      </c>
      <c r="C4539" t="s">
        <v>2824</v>
      </c>
    </row>
    <row r="4540" spans="1:3" x14ac:dyDescent="0.2">
      <c r="A4540" t="s">
        <v>2828</v>
      </c>
      <c r="B4540" t="s">
        <v>2823</v>
      </c>
      <c r="C4540" t="s">
        <v>2824</v>
      </c>
    </row>
    <row r="4541" spans="1:3" x14ac:dyDescent="0.2">
      <c r="A4541" t="s">
        <v>2829</v>
      </c>
      <c r="B4541" t="s">
        <v>2830</v>
      </c>
      <c r="C4541" t="s">
        <v>2826</v>
      </c>
    </row>
    <row r="4542" spans="1:3" x14ac:dyDescent="0.2">
      <c r="A4542" t="s">
        <v>2831</v>
      </c>
      <c r="B4542" t="s">
        <v>2813</v>
      </c>
      <c r="C4542" t="s">
        <v>2814</v>
      </c>
    </row>
    <row r="4543" spans="1:3" x14ac:dyDescent="0.2">
      <c r="A4543" t="s">
        <v>4337</v>
      </c>
      <c r="B4543" t="s">
        <v>2813</v>
      </c>
      <c r="C4543" t="s">
        <v>2814</v>
      </c>
    </row>
    <row r="4544" spans="1:3" x14ac:dyDescent="0.2">
      <c r="A4544" t="s">
        <v>2832</v>
      </c>
      <c r="B4544" t="s">
        <v>2813</v>
      </c>
      <c r="C4544" t="s">
        <v>2814</v>
      </c>
    </row>
    <row r="4545" spans="1:3" x14ac:dyDescent="0.2">
      <c r="A4545" t="s">
        <v>5264</v>
      </c>
      <c r="B4545" t="s">
        <v>2813</v>
      </c>
      <c r="C4545" t="s">
        <v>2814</v>
      </c>
    </row>
    <row r="4546" spans="1:3" x14ac:dyDescent="0.2">
      <c r="A4546" t="s">
        <v>2833</v>
      </c>
      <c r="B4546" t="s">
        <v>2834</v>
      </c>
      <c r="C4546" t="s">
        <v>2835</v>
      </c>
    </row>
    <row r="4547" spans="1:3" x14ac:dyDescent="0.2">
      <c r="A4547" t="s">
        <v>2836</v>
      </c>
      <c r="B4547" t="s">
        <v>2837</v>
      </c>
      <c r="C4547" t="s">
        <v>2838</v>
      </c>
    </row>
    <row r="4548" spans="1:3" x14ac:dyDescent="0.2">
      <c r="A4548" t="s">
        <v>2839</v>
      </c>
      <c r="B4548" t="s">
        <v>2837</v>
      </c>
      <c r="C4548" t="s">
        <v>2838</v>
      </c>
    </row>
    <row r="4549" spans="1:3" x14ac:dyDescent="0.2">
      <c r="A4549" t="s">
        <v>2840</v>
      </c>
      <c r="B4549" t="s">
        <v>2837</v>
      </c>
      <c r="C4549" t="s">
        <v>2838</v>
      </c>
    </row>
    <row r="4550" spans="1:3" x14ac:dyDescent="0.2">
      <c r="A4550" t="s">
        <v>2841</v>
      </c>
      <c r="B4550" t="s">
        <v>2837</v>
      </c>
      <c r="C4550" t="s">
        <v>2838</v>
      </c>
    </row>
    <row r="4551" spans="1:3" x14ac:dyDescent="0.2">
      <c r="A4551" t="s">
        <v>2842</v>
      </c>
      <c r="B4551" t="s">
        <v>2837</v>
      </c>
      <c r="C4551" t="s">
        <v>2838</v>
      </c>
    </row>
    <row r="4552" spans="1:3" x14ac:dyDescent="0.2">
      <c r="A4552" t="s">
        <v>2843</v>
      </c>
      <c r="B4552" t="s">
        <v>2837</v>
      </c>
      <c r="C4552" t="s">
        <v>2838</v>
      </c>
    </row>
    <row r="4553" spans="1:3" x14ac:dyDescent="0.2">
      <c r="A4553" t="s">
        <v>2844</v>
      </c>
      <c r="B4553" t="s">
        <v>2837</v>
      </c>
      <c r="C4553" t="s">
        <v>2838</v>
      </c>
    </row>
    <row r="4554" spans="1:3" x14ac:dyDescent="0.2">
      <c r="A4554" t="s">
        <v>4338</v>
      </c>
      <c r="B4554" t="s">
        <v>2837</v>
      </c>
      <c r="C4554" t="s">
        <v>2846</v>
      </c>
    </row>
    <row r="4555" spans="1:3" x14ac:dyDescent="0.2">
      <c r="A4555" t="s">
        <v>2845</v>
      </c>
      <c r="B4555" t="s">
        <v>2837</v>
      </c>
      <c r="C4555" t="s">
        <v>2846</v>
      </c>
    </row>
    <row r="4556" spans="1:3" x14ac:dyDescent="0.2">
      <c r="A4556" t="s">
        <v>2847</v>
      </c>
      <c r="B4556" t="s">
        <v>2837</v>
      </c>
      <c r="C4556" t="s">
        <v>2846</v>
      </c>
    </row>
    <row r="4557" spans="1:3" x14ac:dyDescent="0.2">
      <c r="A4557" t="s">
        <v>2848</v>
      </c>
      <c r="B4557" t="s">
        <v>2837</v>
      </c>
      <c r="C4557" t="s">
        <v>2846</v>
      </c>
    </row>
    <row r="4558" spans="1:3" x14ac:dyDescent="0.2">
      <c r="A4558" t="s">
        <v>2849</v>
      </c>
      <c r="B4558" t="s">
        <v>2837</v>
      </c>
      <c r="C4558" t="s">
        <v>2850</v>
      </c>
    </row>
    <row r="4559" spans="1:3" x14ac:dyDescent="0.2">
      <c r="A4559" t="s">
        <v>2851</v>
      </c>
      <c r="B4559" t="s">
        <v>2837</v>
      </c>
      <c r="C4559" t="s">
        <v>2846</v>
      </c>
    </row>
    <row r="4560" spans="1:3" x14ac:dyDescent="0.2">
      <c r="A4560" t="s">
        <v>2852</v>
      </c>
      <c r="B4560" t="s">
        <v>2837</v>
      </c>
      <c r="C4560" t="s">
        <v>2846</v>
      </c>
    </row>
    <row r="4561" spans="1:3" x14ac:dyDescent="0.2">
      <c r="A4561" t="s">
        <v>2853</v>
      </c>
      <c r="B4561" t="s">
        <v>2837</v>
      </c>
      <c r="C4561" t="s">
        <v>2846</v>
      </c>
    </row>
    <row r="4562" spans="1:3" x14ac:dyDescent="0.2">
      <c r="A4562" t="s">
        <v>2854</v>
      </c>
      <c r="B4562" t="s">
        <v>2837</v>
      </c>
      <c r="C4562" t="s">
        <v>2846</v>
      </c>
    </row>
    <row r="4563" spans="1:3" x14ac:dyDescent="0.2">
      <c r="A4563" t="s">
        <v>2855</v>
      </c>
      <c r="B4563" t="s">
        <v>2837</v>
      </c>
      <c r="C4563" t="s">
        <v>2846</v>
      </c>
    </row>
    <row r="4564" spans="1:3" x14ac:dyDescent="0.2">
      <c r="A4564" t="s">
        <v>2856</v>
      </c>
      <c r="B4564" t="s">
        <v>2837</v>
      </c>
      <c r="C4564" t="s">
        <v>2846</v>
      </c>
    </row>
    <row r="4565" spans="1:3" x14ac:dyDescent="0.2">
      <c r="A4565" t="s">
        <v>2857</v>
      </c>
      <c r="B4565" t="s">
        <v>2837</v>
      </c>
      <c r="C4565" t="s">
        <v>2846</v>
      </c>
    </row>
    <row r="4566" spans="1:3" x14ac:dyDescent="0.2">
      <c r="A4566" t="s">
        <v>2858</v>
      </c>
      <c r="B4566" t="s">
        <v>2837</v>
      </c>
      <c r="C4566" t="s">
        <v>2846</v>
      </c>
    </row>
    <row r="4567" spans="1:3" x14ac:dyDescent="0.2">
      <c r="A4567" t="s">
        <v>2859</v>
      </c>
      <c r="B4567" t="s">
        <v>2837</v>
      </c>
      <c r="C4567" t="s">
        <v>2846</v>
      </c>
    </row>
    <row r="4568" spans="1:3" x14ac:dyDescent="0.2">
      <c r="A4568" t="s">
        <v>2860</v>
      </c>
      <c r="B4568" t="s">
        <v>2837</v>
      </c>
      <c r="C4568" t="s">
        <v>2846</v>
      </c>
    </row>
    <row r="4569" spans="1:3" x14ac:dyDescent="0.2">
      <c r="A4569" t="s">
        <v>2861</v>
      </c>
      <c r="B4569" t="s">
        <v>2837</v>
      </c>
      <c r="C4569" t="s">
        <v>2850</v>
      </c>
    </row>
    <row r="4570" spans="1:3" x14ac:dyDescent="0.2">
      <c r="A4570" t="s">
        <v>2862</v>
      </c>
      <c r="B4570" t="s">
        <v>2837</v>
      </c>
      <c r="C4570" t="s">
        <v>2846</v>
      </c>
    </row>
    <row r="4571" spans="1:3" x14ac:dyDescent="0.2">
      <c r="A4571" t="s">
        <v>2863</v>
      </c>
      <c r="B4571" t="s">
        <v>2837</v>
      </c>
      <c r="C4571" t="s">
        <v>2846</v>
      </c>
    </row>
    <row r="4572" spans="1:3" x14ac:dyDescent="0.2">
      <c r="A4572" t="s">
        <v>2864</v>
      </c>
      <c r="B4572" t="s">
        <v>2837</v>
      </c>
      <c r="C4572" t="s">
        <v>2838</v>
      </c>
    </row>
    <row r="4573" spans="1:3" x14ac:dyDescent="0.2">
      <c r="A4573" t="s">
        <v>2865</v>
      </c>
      <c r="B4573" t="s">
        <v>2837</v>
      </c>
      <c r="C4573" t="s">
        <v>2846</v>
      </c>
    </row>
    <row r="4574" spans="1:3" x14ac:dyDescent="0.2">
      <c r="A4574" t="s">
        <v>2866</v>
      </c>
      <c r="B4574" t="s">
        <v>2837</v>
      </c>
      <c r="C4574" t="s">
        <v>2846</v>
      </c>
    </row>
    <row r="4575" spans="1:3" x14ac:dyDescent="0.2">
      <c r="A4575" t="s">
        <v>4339</v>
      </c>
      <c r="B4575" t="s">
        <v>2837</v>
      </c>
      <c r="C4575" t="s">
        <v>2846</v>
      </c>
    </row>
    <row r="4576" spans="1:3" x14ac:dyDescent="0.2">
      <c r="A4576" t="s">
        <v>6795</v>
      </c>
      <c r="B4576" t="s">
        <v>2837</v>
      </c>
      <c r="C4576" t="s">
        <v>2846</v>
      </c>
    </row>
    <row r="4577" spans="1:3" x14ac:dyDescent="0.2">
      <c r="A4577" t="s">
        <v>6796</v>
      </c>
      <c r="B4577" t="s">
        <v>2837</v>
      </c>
      <c r="C4577" t="s">
        <v>2846</v>
      </c>
    </row>
    <row r="4578" spans="1:3" x14ac:dyDescent="0.2">
      <c r="A4578" t="s">
        <v>2867</v>
      </c>
      <c r="B4578" t="s">
        <v>2868</v>
      </c>
      <c r="C4578" t="s">
        <v>2869</v>
      </c>
    </row>
    <row r="4579" spans="1:3" x14ac:dyDescent="0.2">
      <c r="A4579" t="s">
        <v>2870</v>
      </c>
      <c r="B4579" t="s">
        <v>2868</v>
      </c>
      <c r="C4579" t="s">
        <v>2869</v>
      </c>
    </row>
    <row r="4580" spans="1:3" x14ac:dyDescent="0.2">
      <c r="A4580" t="s">
        <v>2871</v>
      </c>
      <c r="B4580" t="s">
        <v>2872</v>
      </c>
      <c r="C4580" t="s">
        <v>2869</v>
      </c>
    </row>
    <row r="4581" spans="1:3" x14ac:dyDescent="0.2">
      <c r="A4581" t="s">
        <v>5021</v>
      </c>
      <c r="B4581" t="s">
        <v>7164</v>
      </c>
      <c r="C4581" t="s">
        <v>2879</v>
      </c>
    </row>
    <row r="4582" spans="1:3" x14ac:dyDescent="0.2">
      <c r="A4582" t="s">
        <v>5022</v>
      </c>
      <c r="B4582" t="s">
        <v>7164</v>
      </c>
      <c r="C4582" t="s">
        <v>2874</v>
      </c>
    </row>
    <row r="4583" spans="1:3" x14ac:dyDescent="0.2">
      <c r="A4583" t="s">
        <v>2873</v>
      </c>
      <c r="B4583" t="s">
        <v>7164</v>
      </c>
      <c r="C4583" t="s">
        <v>2874</v>
      </c>
    </row>
    <row r="4584" spans="1:3" x14ac:dyDescent="0.2">
      <c r="A4584" t="s">
        <v>2875</v>
      </c>
      <c r="B4584" t="s">
        <v>7164</v>
      </c>
      <c r="C4584" t="s">
        <v>2876</v>
      </c>
    </row>
    <row r="4585" spans="1:3" x14ac:dyDescent="0.2">
      <c r="A4585" t="s">
        <v>4340</v>
      </c>
      <c r="B4585" t="s">
        <v>7164</v>
      </c>
      <c r="C4585" t="s">
        <v>2874</v>
      </c>
    </row>
    <row r="4586" spans="1:3" x14ac:dyDescent="0.2">
      <c r="A4586" t="s">
        <v>2877</v>
      </c>
      <c r="B4586" t="s">
        <v>7164</v>
      </c>
      <c r="C4586" t="s">
        <v>2874</v>
      </c>
    </row>
    <row r="4587" spans="1:3" x14ac:dyDescent="0.2">
      <c r="A4587" t="s">
        <v>2878</v>
      </c>
      <c r="B4587" t="s">
        <v>7164</v>
      </c>
      <c r="C4587" t="s">
        <v>2879</v>
      </c>
    </row>
    <row r="4588" spans="1:3" x14ac:dyDescent="0.2">
      <c r="A4588" t="s">
        <v>2880</v>
      </c>
      <c r="B4588" t="s">
        <v>7164</v>
      </c>
      <c r="C4588" t="s">
        <v>2876</v>
      </c>
    </row>
    <row r="4589" spans="1:3" x14ac:dyDescent="0.2">
      <c r="A4589" t="s">
        <v>2881</v>
      </c>
      <c r="B4589" t="s">
        <v>7164</v>
      </c>
      <c r="C4589" t="s">
        <v>2876</v>
      </c>
    </row>
    <row r="4590" spans="1:3" x14ac:dyDescent="0.2">
      <c r="A4590" t="s">
        <v>2882</v>
      </c>
      <c r="B4590" t="s">
        <v>7164</v>
      </c>
      <c r="C4590" t="s">
        <v>2874</v>
      </c>
    </row>
    <row r="4591" spans="1:3" x14ac:dyDescent="0.2">
      <c r="A4591" t="s">
        <v>2883</v>
      </c>
      <c r="B4591" t="s">
        <v>7164</v>
      </c>
      <c r="C4591" t="s">
        <v>2879</v>
      </c>
    </row>
    <row r="4592" spans="1:3" x14ac:dyDescent="0.2">
      <c r="A4592" t="s">
        <v>2884</v>
      </c>
      <c r="B4592" t="s">
        <v>7164</v>
      </c>
      <c r="C4592" t="s">
        <v>2876</v>
      </c>
    </row>
    <row r="4593" spans="1:3" x14ac:dyDescent="0.2">
      <c r="A4593" t="s">
        <v>4739</v>
      </c>
      <c r="B4593" t="s">
        <v>7164</v>
      </c>
      <c r="C4593" t="s">
        <v>4740</v>
      </c>
    </row>
    <row r="4594" spans="1:3" x14ac:dyDescent="0.2">
      <c r="A4594" t="s">
        <v>6797</v>
      </c>
      <c r="B4594" t="s">
        <v>7164</v>
      </c>
      <c r="C4594" t="s">
        <v>2876</v>
      </c>
    </row>
    <row r="4595" spans="1:3" x14ac:dyDescent="0.2">
      <c r="A4595" t="s">
        <v>6798</v>
      </c>
      <c r="B4595" t="s">
        <v>7164</v>
      </c>
      <c r="C4595" t="s">
        <v>4740</v>
      </c>
    </row>
    <row r="4596" spans="1:3" x14ac:dyDescent="0.2">
      <c r="A4596" t="s">
        <v>2885</v>
      </c>
      <c r="B4596" t="s">
        <v>7164</v>
      </c>
      <c r="C4596" t="s">
        <v>2874</v>
      </c>
    </row>
    <row r="4597" spans="1:3" x14ac:dyDescent="0.2">
      <c r="A4597" t="s">
        <v>6723</v>
      </c>
      <c r="B4597" t="s">
        <v>7164</v>
      </c>
      <c r="C4597" t="s">
        <v>4740</v>
      </c>
    </row>
    <row r="4598" spans="1:3" x14ac:dyDescent="0.2">
      <c r="A4598" t="s">
        <v>6724</v>
      </c>
      <c r="B4598" t="s">
        <v>7164</v>
      </c>
      <c r="C4598" t="s">
        <v>2876</v>
      </c>
    </row>
    <row r="4599" spans="1:3" x14ac:dyDescent="0.2">
      <c r="A4599" t="s">
        <v>5543</v>
      </c>
      <c r="B4599" t="s">
        <v>7164</v>
      </c>
      <c r="C4599" t="s">
        <v>2879</v>
      </c>
    </row>
    <row r="4600" spans="1:3" x14ac:dyDescent="0.2">
      <c r="A4600" t="s">
        <v>5544</v>
      </c>
      <c r="B4600" t="s">
        <v>7164</v>
      </c>
      <c r="C4600" t="s">
        <v>2876</v>
      </c>
    </row>
    <row r="4601" spans="1:3" x14ac:dyDescent="0.2">
      <c r="A4601" t="s">
        <v>2886</v>
      </c>
      <c r="B4601" t="s">
        <v>7164</v>
      </c>
      <c r="C4601" t="s">
        <v>2874</v>
      </c>
    </row>
    <row r="4602" spans="1:3" x14ac:dyDescent="0.2">
      <c r="A4602" t="s">
        <v>6799</v>
      </c>
      <c r="B4602" t="s">
        <v>7164</v>
      </c>
      <c r="C4602" t="s">
        <v>2879</v>
      </c>
    </row>
    <row r="4603" spans="1:3" x14ac:dyDescent="0.2">
      <c r="A4603" t="s">
        <v>4609</v>
      </c>
      <c r="B4603" t="s">
        <v>7164</v>
      </c>
      <c r="C4603" t="s">
        <v>2874</v>
      </c>
    </row>
    <row r="4604" spans="1:3" x14ac:dyDescent="0.2">
      <c r="A4604" t="s">
        <v>4744</v>
      </c>
      <c r="B4604" t="s">
        <v>2888</v>
      </c>
      <c r="C4604" t="s">
        <v>2943</v>
      </c>
    </row>
    <row r="4605" spans="1:3" x14ac:dyDescent="0.2">
      <c r="A4605" t="s">
        <v>4341</v>
      </c>
      <c r="B4605" t="s">
        <v>2888</v>
      </c>
      <c r="C4605" t="s">
        <v>2943</v>
      </c>
    </row>
    <row r="4606" spans="1:3" x14ac:dyDescent="0.2">
      <c r="A4606" t="s">
        <v>4342</v>
      </c>
      <c r="B4606" t="s">
        <v>2888</v>
      </c>
      <c r="C4606" t="s">
        <v>2943</v>
      </c>
    </row>
    <row r="4607" spans="1:3" x14ac:dyDescent="0.2">
      <c r="A4607" t="s">
        <v>2887</v>
      </c>
      <c r="B4607" t="s">
        <v>2888</v>
      </c>
      <c r="C4607" t="s">
        <v>2943</v>
      </c>
    </row>
    <row r="4608" spans="1:3" x14ac:dyDescent="0.2">
      <c r="A4608" t="s">
        <v>2889</v>
      </c>
      <c r="B4608" t="s">
        <v>2888</v>
      </c>
      <c r="C4608" t="s">
        <v>2943</v>
      </c>
    </row>
    <row r="4609" spans="1:3" x14ac:dyDescent="0.2">
      <c r="A4609" t="s">
        <v>2891</v>
      </c>
      <c r="B4609" t="s">
        <v>2837</v>
      </c>
      <c r="C4609" t="s">
        <v>2846</v>
      </c>
    </row>
    <row r="4610" spans="1:3" x14ac:dyDescent="0.2">
      <c r="A4610" t="s">
        <v>4343</v>
      </c>
      <c r="B4610" t="s">
        <v>2892</v>
      </c>
      <c r="C4610" t="s">
        <v>2894</v>
      </c>
    </row>
    <row r="4611" spans="1:3" x14ac:dyDescent="0.2">
      <c r="A4611" t="s">
        <v>4344</v>
      </c>
      <c r="B4611" t="s">
        <v>2892</v>
      </c>
      <c r="C4611" t="s">
        <v>2894</v>
      </c>
    </row>
    <row r="4612" spans="1:3" x14ac:dyDescent="0.2">
      <c r="A4612" t="s">
        <v>5020</v>
      </c>
      <c r="B4612" t="s">
        <v>2950</v>
      </c>
      <c r="C4612" t="s">
        <v>2890</v>
      </c>
    </row>
    <row r="4613" spans="1:3" x14ac:dyDescent="0.2">
      <c r="A4613" t="s">
        <v>2893</v>
      </c>
      <c r="B4613" t="s">
        <v>2892</v>
      </c>
      <c r="C4613" t="s">
        <v>2894</v>
      </c>
    </row>
    <row r="4614" spans="1:3" x14ac:dyDescent="0.2">
      <c r="A4614" t="s">
        <v>4345</v>
      </c>
      <c r="B4614" t="s">
        <v>2892</v>
      </c>
      <c r="C4614" t="s">
        <v>2896</v>
      </c>
    </row>
    <row r="4615" spans="1:3" x14ac:dyDescent="0.2">
      <c r="A4615" t="s">
        <v>4346</v>
      </c>
      <c r="B4615" t="s">
        <v>2892</v>
      </c>
      <c r="C4615" t="s">
        <v>2896</v>
      </c>
    </row>
    <row r="4616" spans="1:3" x14ac:dyDescent="0.2">
      <c r="A4616" t="s">
        <v>4347</v>
      </c>
      <c r="B4616" t="s">
        <v>2892</v>
      </c>
      <c r="C4616" t="s">
        <v>2896</v>
      </c>
    </row>
    <row r="4617" spans="1:3" x14ac:dyDescent="0.2">
      <c r="A4617" t="s">
        <v>2895</v>
      </c>
      <c r="B4617" t="s">
        <v>2892</v>
      </c>
      <c r="C4617" t="s">
        <v>2896</v>
      </c>
    </row>
    <row r="4618" spans="1:3" x14ac:dyDescent="0.2">
      <c r="A4618" t="s">
        <v>2897</v>
      </c>
      <c r="B4618" t="s">
        <v>2892</v>
      </c>
      <c r="C4618" t="s">
        <v>2896</v>
      </c>
    </row>
    <row r="4619" spans="1:3" x14ac:dyDescent="0.2">
      <c r="A4619" t="s">
        <v>6800</v>
      </c>
      <c r="B4619" t="s">
        <v>2899</v>
      </c>
      <c r="C4619" t="s">
        <v>2900</v>
      </c>
    </row>
    <row r="4620" spans="1:3" x14ac:dyDescent="0.2">
      <c r="A4620" t="s">
        <v>2898</v>
      </c>
      <c r="B4620" t="s">
        <v>2899</v>
      </c>
      <c r="C4620" t="s">
        <v>2900</v>
      </c>
    </row>
    <row r="4621" spans="1:3" x14ac:dyDescent="0.2">
      <c r="A4621" t="s">
        <v>2901</v>
      </c>
      <c r="B4621" t="s">
        <v>2899</v>
      </c>
      <c r="C4621" t="s">
        <v>2900</v>
      </c>
    </row>
    <row r="4622" spans="1:3" x14ac:dyDescent="0.2">
      <c r="A4622" t="s">
        <v>2902</v>
      </c>
      <c r="B4622" t="s">
        <v>2899</v>
      </c>
      <c r="C4622" t="s">
        <v>2900</v>
      </c>
    </row>
    <row r="4623" spans="1:3" x14ac:dyDescent="0.2">
      <c r="A4623" t="s">
        <v>2903</v>
      </c>
      <c r="B4623" t="s">
        <v>2899</v>
      </c>
      <c r="C4623" t="s">
        <v>2900</v>
      </c>
    </row>
    <row r="4624" spans="1:3" x14ac:dyDescent="0.2">
      <c r="A4624" t="s">
        <v>2904</v>
      </c>
      <c r="B4624" t="s">
        <v>2899</v>
      </c>
      <c r="C4624" t="s">
        <v>2900</v>
      </c>
    </row>
    <row r="4625" spans="1:3" x14ac:dyDescent="0.2">
      <c r="A4625" t="s">
        <v>2905</v>
      </c>
      <c r="B4625" t="s">
        <v>2906</v>
      </c>
      <c r="C4625" t="s">
        <v>2907</v>
      </c>
    </row>
    <row r="4626" spans="1:3" x14ac:dyDescent="0.2">
      <c r="A4626" t="s">
        <v>5954</v>
      </c>
      <c r="B4626" t="s">
        <v>2899</v>
      </c>
      <c r="C4626" t="s">
        <v>2900</v>
      </c>
    </row>
    <row r="4627" spans="1:3" x14ac:dyDescent="0.2">
      <c r="A4627" t="s">
        <v>5955</v>
      </c>
      <c r="B4627" t="s">
        <v>2899</v>
      </c>
      <c r="C4627" t="s">
        <v>2900</v>
      </c>
    </row>
    <row r="4628" spans="1:3" x14ac:dyDescent="0.2">
      <c r="A4628" t="s">
        <v>2908</v>
      </c>
      <c r="B4628" t="s">
        <v>2899</v>
      </c>
      <c r="C4628" t="s">
        <v>2909</v>
      </c>
    </row>
    <row r="4629" spans="1:3" x14ac:dyDescent="0.2">
      <c r="A4629" t="s">
        <v>2910</v>
      </c>
      <c r="B4629" t="s">
        <v>2899</v>
      </c>
      <c r="C4629" t="s">
        <v>2909</v>
      </c>
    </row>
    <row r="4630" spans="1:3" x14ac:dyDescent="0.2">
      <c r="A4630" t="s">
        <v>2911</v>
      </c>
      <c r="B4630" t="s">
        <v>2899</v>
      </c>
      <c r="C4630" t="s">
        <v>2900</v>
      </c>
    </row>
    <row r="4631" spans="1:3" x14ac:dyDescent="0.2">
      <c r="A4631" t="s">
        <v>2912</v>
      </c>
      <c r="B4631" t="s">
        <v>2913</v>
      </c>
      <c r="C4631" t="s">
        <v>2914</v>
      </c>
    </row>
    <row r="4632" spans="1:3" x14ac:dyDescent="0.2">
      <c r="A4632" t="s">
        <v>2915</v>
      </c>
      <c r="B4632" t="s">
        <v>2899</v>
      </c>
      <c r="C4632" t="s">
        <v>2916</v>
      </c>
    </row>
    <row r="4633" spans="1:3" x14ac:dyDescent="0.2">
      <c r="A4633" t="s">
        <v>2917</v>
      </c>
      <c r="B4633" t="s">
        <v>2918</v>
      </c>
      <c r="C4633" t="s">
        <v>2919</v>
      </c>
    </row>
    <row r="4634" spans="1:3" x14ac:dyDescent="0.2">
      <c r="A4634" t="s">
        <v>2920</v>
      </c>
      <c r="B4634" t="s">
        <v>2921</v>
      </c>
      <c r="C4634" t="s">
        <v>2922</v>
      </c>
    </row>
    <row r="4635" spans="1:3" x14ac:dyDescent="0.2">
      <c r="A4635" t="s">
        <v>2923</v>
      </c>
      <c r="B4635" t="s">
        <v>2924</v>
      </c>
      <c r="C4635" t="s">
        <v>2925</v>
      </c>
    </row>
    <row r="4636" spans="1:3" x14ac:dyDescent="0.2">
      <c r="A4636" t="s">
        <v>2926</v>
      </c>
      <c r="B4636" t="s">
        <v>2892</v>
      </c>
      <c r="C4636" t="s">
        <v>2890</v>
      </c>
    </row>
    <row r="4637" spans="1:3" x14ac:dyDescent="0.2">
      <c r="A4637" t="s">
        <v>4742</v>
      </c>
      <c r="B4637" t="s">
        <v>2892</v>
      </c>
      <c r="C4637" t="s">
        <v>2890</v>
      </c>
    </row>
    <row r="4638" spans="1:3" x14ac:dyDescent="0.2">
      <c r="A4638" t="s">
        <v>5023</v>
      </c>
      <c r="B4638" t="s">
        <v>2892</v>
      </c>
      <c r="C4638" t="s">
        <v>2890</v>
      </c>
    </row>
    <row r="4639" spans="1:3" x14ac:dyDescent="0.2">
      <c r="A4639" t="s">
        <v>2927</v>
      </c>
      <c r="B4639" t="s">
        <v>2892</v>
      </c>
      <c r="C4639" t="s">
        <v>2928</v>
      </c>
    </row>
    <row r="4640" spans="1:3" x14ac:dyDescent="0.2">
      <c r="A4640" t="s">
        <v>2929</v>
      </c>
      <c r="B4640" t="s">
        <v>2892</v>
      </c>
      <c r="C4640" t="s">
        <v>2890</v>
      </c>
    </row>
    <row r="4641" spans="1:3" x14ac:dyDescent="0.2">
      <c r="A4641" t="s">
        <v>4743</v>
      </c>
      <c r="B4641" t="s">
        <v>2892</v>
      </c>
      <c r="C4641" t="s">
        <v>2890</v>
      </c>
    </row>
    <row r="4642" spans="1:3" x14ac:dyDescent="0.2">
      <c r="A4642" t="s">
        <v>5024</v>
      </c>
      <c r="B4642" t="s">
        <v>2892</v>
      </c>
      <c r="C4642" t="s">
        <v>2890</v>
      </c>
    </row>
    <row r="4643" spans="1:3" x14ac:dyDescent="0.2">
      <c r="A4643" t="s">
        <v>2930</v>
      </c>
      <c r="B4643" t="s">
        <v>2931</v>
      </c>
      <c r="C4643" t="s">
        <v>2932</v>
      </c>
    </row>
    <row r="4644" spans="1:3" x14ac:dyDescent="0.2">
      <c r="A4644" t="s">
        <v>2933</v>
      </c>
      <c r="B4644" t="s">
        <v>2934</v>
      </c>
      <c r="C4644" t="s">
        <v>2935</v>
      </c>
    </row>
    <row r="4645" spans="1:3" x14ac:dyDescent="0.2">
      <c r="A4645" t="s">
        <v>2936</v>
      </c>
      <c r="B4645" t="s">
        <v>2934</v>
      </c>
      <c r="C4645" t="s">
        <v>2935</v>
      </c>
    </row>
    <row r="4646" spans="1:3" x14ac:dyDescent="0.2">
      <c r="A4646" t="s">
        <v>4348</v>
      </c>
      <c r="B4646" t="s">
        <v>2931</v>
      </c>
      <c r="C4646" t="s">
        <v>2932</v>
      </c>
    </row>
    <row r="4647" spans="1:3" x14ac:dyDescent="0.2">
      <c r="A4647" t="s">
        <v>2937</v>
      </c>
      <c r="B4647" t="s">
        <v>2931</v>
      </c>
      <c r="C4647" t="s">
        <v>2932</v>
      </c>
    </row>
    <row r="4648" spans="1:3" x14ac:dyDescent="0.2">
      <c r="A4648" t="s">
        <v>2938</v>
      </c>
      <c r="B4648" t="s">
        <v>2934</v>
      </c>
      <c r="C4648" t="s">
        <v>2935</v>
      </c>
    </row>
    <row r="4649" spans="1:3" x14ac:dyDescent="0.2">
      <c r="A4649" t="s">
        <v>2939</v>
      </c>
      <c r="B4649" t="s">
        <v>2934</v>
      </c>
      <c r="C4649" t="s">
        <v>2935</v>
      </c>
    </row>
    <row r="4650" spans="1:3" x14ac:dyDescent="0.2">
      <c r="A4650" t="s">
        <v>2940</v>
      </c>
      <c r="B4650" t="s">
        <v>6976</v>
      </c>
      <c r="C4650" t="s">
        <v>2941</v>
      </c>
    </row>
    <row r="4651" spans="1:3" x14ac:dyDescent="0.2">
      <c r="A4651" t="s">
        <v>4349</v>
      </c>
      <c r="B4651" t="s">
        <v>6976</v>
      </c>
      <c r="C4651" t="s">
        <v>2941</v>
      </c>
    </row>
    <row r="4652" spans="1:3" x14ac:dyDescent="0.2">
      <c r="A4652" t="s">
        <v>4350</v>
      </c>
      <c r="B4652" t="s">
        <v>6976</v>
      </c>
      <c r="C4652" t="s">
        <v>2941</v>
      </c>
    </row>
    <row r="4653" spans="1:3" x14ac:dyDescent="0.2">
      <c r="A4653" t="s">
        <v>5956</v>
      </c>
      <c r="B4653" t="s">
        <v>6976</v>
      </c>
      <c r="C4653" t="s">
        <v>5957</v>
      </c>
    </row>
    <row r="4654" spans="1:3" x14ac:dyDescent="0.2">
      <c r="A4654" t="s">
        <v>4351</v>
      </c>
      <c r="B4654" t="s">
        <v>2888</v>
      </c>
      <c r="C4654" t="s">
        <v>2943</v>
      </c>
    </row>
    <row r="4655" spans="1:3" x14ac:dyDescent="0.2">
      <c r="A4655" t="s">
        <v>4352</v>
      </c>
      <c r="B4655" t="s">
        <v>2888</v>
      </c>
      <c r="C4655" t="s">
        <v>2943</v>
      </c>
    </row>
    <row r="4656" spans="1:3" x14ac:dyDescent="0.2">
      <c r="A4656" t="s">
        <v>4353</v>
      </c>
      <c r="B4656" t="s">
        <v>2888</v>
      </c>
      <c r="C4656" t="s">
        <v>2943</v>
      </c>
    </row>
    <row r="4657" spans="1:3" x14ac:dyDescent="0.2">
      <c r="A4657" t="s">
        <v>4354</v>
      </c>
      <c r="B4657" t="s">
        <v>2888</v>
      </c>
      <c r="C4657" t="s">
        <v>2943</v>
      </c>
    </row>
    <row r="4658" spans="1:3" x14ac:dyDescent="0.2">
      <c r="A4658" t="s">
        <v>2942</v>
      </c>
      <c r="B4658" t="s">
        <v>2888</v>
      </c>
      <c r="C4658" t="s">
        <v>2943</v>
      </c>
    </row>
    <row r="4659" spans="1:3" x14ac:dyDescent="0.2">
      <c r="A4659" t="s">
        <v>2944</v>
      </c>
      <c r="B4659" t="s">
        <v>2888</v>
      </c>
      <c r="C4659" t="s">
        <v>2943</v>
      </c>
    </row>
    <row r="4660" spans="1:3" x14ac:dyDescent="0.2">
      <c r="A4660" t="s">
        <v>4355</v>
      </c>
      <c r="B4660" t="s">
        <v>2888</v>
      </c>
      <c r="C4660" t="s">
        <v>2943</v>
      </c>
    </row>
    <row r="4661" spans="1:3" x14ac:dyDescent="0.2">
      <c r="A4661" t="s">
        <v>2945</v>
      </c>
      <c r="B4661" t="s">
        <v>2888</v>
      </c>
      <c r="C4661" t="s">
        <v>2943</v>
      </c>
    </row>
    <row r="4662" spans="1:3" x14ac:dyDescent="0.2">
      <c r="A4662" t="s">
        <v>2946</v>
      </c>
      <c r="B4662" t="s">
        <v>2888</v>
      </c>
      <c r="C4662" t="s">
        <v>2943</v>
      </c>
    </row>
    <row r="4663" spans="1:3" x14ac:dyDescent="0.2">
      <c r="A4663" t="s">
        <v>5000</v>
      </c>
      <c r="B4663" t="s">
        <v>2888</v>
      </c>
      <c r="C4663" t="s">
        <v>2943</v>
      </c>
    </row>
    <row r="4664" spans="1:3" x14ac:dyDescent="0.2">
      <c r="A4664" t="s">
        <v>2947</v>
      </c>
      <c r="B4664" t="s">
        <v>2888</v>
      </c>
      <c r="C4664" t="s">
        <v>2943</v>
      </c>
    </row>
    <row r="4665" spans="1:3" x14ac:dyDescent="0.2">
      <c r="A4665" t="s">
        <v>4356</v>
      </c>
      <c r="B4665" t="s">
        <v>2888</v>
      </c>
      <c r="C4665" t="s">
        <v>2943</v>
      </c>
    </row>
    <row r="4666" spans="1:3" x14ac:dyDescent="0.2">
      <c r="A4666" t="s">
        <v>2948</v>
      </c>
      <c r="B4666" t="s">
        <v>2888</v>
      </c>
      <c r="C4666" t="s">
        <v>2943</v>
      </c>
    </row>
    <row r="4667" spans="1:3" x14ac:dyDescent="0.2">
      <c r="A4667" t="s">
        <v>2949</v>
      </c>
      <c r="B4667" t="s">
        <v>2950</v>
      </c>
      <c r="C4667" t="s">
        <v>2896</v>
      </c>
    </row>
    <row r="4668" spans="1:3" x14ac:dyDescent="0.2">
      <c r="A4668" t="s">
        <v>4357</v>
      </c>
      <c r="B4668" t="s">
        <v>2950</v>
      </c>
      <c r="C4668" t="s">
        <v>2896</v>
      </c>
    </row>
    <row r="4669" spans="1:3" x14ac:dyDescent="0.2">
      <c r="A4669" t="s">
        <v>6725</v>
      </c>
      <c r="B4669" t="s">
        <v>2950</v>
      </c>
      <c r="C4669" t="s">
        <v>2896</v>
      </c>
    </row>
    <row r="4670" spans="1:3" x14ac:dyDescent="0.2">
      <c r="A4670" t="s">
        <v>2951</v>
      </c>
      <c r="B4670" t="s">
        <v>2950</v>
      </c>
      <c r="C4670" t="s">
        <v>2896</v>
      </c>
    </row>
    <row r="4671" spans="1:3" x14ac:dyDescent="0.2">
      <c r="A4671" t="s">
        <v>2952</v>
      </c>
      <c r="B4671" t="s">
        <v>2950</v>
      </c>
      <c r="C4671" t="s">
        <v>2896</v>
      </c>
    </row>
    <row r="4672" spans="1:3" x14ac:dyDescent="0.2">
      <c r="A4672" t="s">
        <v>2954</v>
      </c>
      <c r="B4672" t="s">
        <v>2950</v>
      </c>
      <c r="C4672" t="s">
        <v>2890</v>
      </c>
    </row>
    <row r="4673" spans="1:3" x14ac:dyDescent="0.2">
      <c r="A4673" t="s">
        <v>2955</v>
      </c>
      <c r="B4673" t="s">
        <v>2950</v>
      </c>
      <c r="C4673" t="s">
        <v>2890</v>
      </c>
    </row>
    <row r="4674" spans="1:3" x14ac:dyDescent="0.2">
      <c r="A4674" t="s">
        <v>2956</v>
      </c>
      <c r="B4674" t="s">
        <v>2950</v>
      </c>
      <c r="C4674" t="s">
        <v>2890</v>
      </c>
    </row>
    <row r="4675" spans="1:3" x14ac:dyDescent="0.2">
      <c r="A4675" t="s">
        <v>2957</v>
      </c>
      <c r="B4675" t="s">
        <v>2950</v>
      </c>
      <c r="C4675" t="s">
        <v>2890</v>
      </c>
    </row>
  </sheetData>
  <autoFilter ref="A5:C4675" xr:uid="{00000000-0001-0000-0000-000000000000}"/>
  <sortState xmlns:xlrd2="http://schemas.microsoft.com/office/spreadsheetml/2017/richdata2" ref="A6:C4675">
    <sortCondition ref="A6:A4675"/>
  </sortState>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outlinePr summaryBelow="0"/>
  </sheetPr>
  <dimension ref="A1:I1685"/>
  <sheetViews>
    <sheetView showGridLines="0" topLeftCell="A39" workbookViewId="0">
      <selection activeCell="A21" sqref="A21"/>
    </sheetView>
  </sheetViews>
  <sheetFormatPr defaultRowHeight="12.75" x14ac:dyDescent="0.2"/>
  <cols>
    <col min="1" max="1" width="24.140625" bestFit="1" customWidth="1"/>
    <col min="2" max="2" width="59.140625" bestFit="1" customWidth="1"/>
    <col min="3" max="3" width="42.85546875" bestFit="1" customWidth="1"/>
    <col min="4" max="5" width="24" bestFit="1" customWidth="1"/>
    <col min="6" max="6" width="24" customWidth="1"/>
    <col min="7" max="7" width="110.42578125" bestFit="1" customWidth="1"/>
    <col min="8" max="8" width="46" customWidth="1"/>
    <col min="9" max="9" width="91.140625" bestFit="1" customWidth="1"/>
  </cols>
  <sheetData>
    <row r="1" spans="1:9" x14ac:dyDescent="0.2">
      <c r="B1" s="82"/>
    </row>
    <row r="2" spans="1:9" x14ac:dyDescent="0.2">
      <c r="C2" s="103" t="s">
        <v>4518</v>
      </c>
      <c r="D2" s="104">
        <v>-1</v>
      </c>
      <c r="G2" s="948" t="s">
        <v>4517</v>
      </c>
      <c r="H2" s="948"/>
      <c r="I2" s="948"/>
    </row>
    <row r="4" spans="1:9" s="3" customFormat="1" ht="24" customHeight="1" x14ac:dyDescent="0.2">
      <c r="A4" s="80" t="s">
        <v>4379</v>
      </c>
      <c r="B4" s="80" t="s">
        <v>2958</v>
      </c>
      <c r="C4" s="80" t="s">
        <v>0</v>
      </c>
      <c r="D4" s="83" t="s">
        <v>6372</v>
      </c>
      <c r="E4" s="83" t="s">
        <v>6373</v>
      </c>
      <c r="F4" s="83" t="s">
        <v>6374</v>
      </c>
      <c r="G4" s="81" t="s">
        <v>2959</v>
      </c>
      <c r="H4" s="81" t="s">
        <v>739</v>
      </c>
      <c r="I4" s="81" t="s">
        <v>740</v>
      </c>
    </row>
    <row r="5" spans="1:9" s="4" customFormat="1" ht="12.75" customHeight="1" x14ac:dyDescent="0.2">
      <c r="A5" s="96" t="s">
        <v>5265</v>
      </c>
      <c r="B5" s="97" t="s">
        <v>1</v>
      </c>
      <c r="C5" s="97" t="s">
        <v>2</v>
      </c>
      <c r="D5" s="98">
        <v>49155.360000000001</v>
      </c>
      <c r="E5" s="98"/>
      <c r="F5" s="98"/>
      <c r="G5" s="97" t="str">
        <f t="shared" ref="G5:G68" si="0">CONCATENATE(A5,B5,C5)</f>
        <v>111110100'= CAIXA105000026600000000000191</v>
      </c>
      <c r="H5" s="97" t="str">
        <f>VLOOKUP(Tabela1[[#This Row],[CONCATENAR]],'Classificações - Demonstrações'!$A$5:$C$46003,2,)</f>
        <v>Disponível</v>
      </c>
      <c r="I5" s="97"/>
    </row>
    <row r="6" spans="1:9" ht="12.75" customHeight="1" x14ac:dyDescent="0.2">
      <c r="A6" s="94" t="s">
        <v>5266</v>
      </c>
      <c r="B6" s="87" t="s">
        <v>3</v>
      </c>
      <c r="C6" s="87" t="s">
        <v>4</v>
      </c>
      <c r="D6" s="89">
        <v>61657.41</v>
      </c>
      <c r="E6" s="88"/>
      <c r="F6" s="88"/>
      <c r="G6" s="87" t="str">
        <f t="shared" si="0"/>
        <v>111122001'= LIMITE DE SAQUE COM VINCULACAO DE PGTO - OFSS1000000000130</v>
      </c>
      <c r="H6" s="87" t="str">
        <f>VLOOKUP(Tabela1[[#This Row],[CONCATENAR]],'Classificações - Demonstrações'!$A$5:$C$46003,2,)</f>
        <v>Disponível</v>
      </c>
      <c r="I6" s="87"/>
    </row>
    <row r="7" spans="1:9" ht="12.75" customHeight="1" x14ac:dyDescent="0.2">
      <c r="A7" s="94" t="s">
        <v>5266</v>
      </c>
      <c r="B7" s="87" t="s">
        <v>3</v>
      </c>
      <c r="C7" s="87" t="s">
        <v>5</v>
      </c>
      <c r="D7" s="88">
        <v>682762.4</v>
      </c>
      <c r="E7" s="89"/>
      <c r="F7" s="89"/>
      <c r="G7" s="87" t="str">
        <f t="shared" si="0"/>
        <v>111122001'= LIMITE DE SAQUE COM VINCULACAO DE PGTO - OFSS1000000000307</v>
      </c>
      <c r="H7" s="87" t="str">
        <f>VLOOKUP(Tabela1[[#This Row],[CONCATENAR]],'Classificações - Demonstrações'!$A$5:$C$46003,2,)</f>
        <v>Disponível</v>
      </c>
      <c r="I7" s="87"/>
    </row>
    <row r="8" spans="1:9" ht="12.75" customHeight="1" x14ac:dyDescent="0.2">
      <c r="A8" s="94" t="s">
        <v>5266</v>
      </c>
      <c r="B8" s="87" t="s">
        <v>3</v>
      </c>
      <c r="C8" s="87" t="s">
        <v>6</v>
      </c>
      <c r="D8" s="88">
        <v>351541.26</v>
      </c>
      <c r="E8" s="89"/>
      <c r="F8" s="89"/>
      <c r="G8" s="87" t="str">
        <f t="shared" si="0"/>
        <v>111122001'= LIMITE DE SAQUE COM VINCULACAO DE PGTO - OFSS1000000000308</v>
      </c>
      <c r="H8" s="87" t="str">
        <f>VLOOKUP(Tabela1[[#This Row],[CONCATENAR]],'Classificações - Demonstrações'!$A$5:$C$46003,2,)</f>
        <v>Disponível</v>
      </c>
      <c r="I8" s="87"/>
    </row>
    <row r="9" spans="1:9" ht="12.75" customHeight="1" x14ac:dyDescent="0.2">
      <c r="A9" s="94" t="s">
        <v>5266</v>
      </c>
      <c r="B9" s="87" t="s">
        <v>3</v>
      </c>
      <c r="C9" s="87" t="s">
        <v>7</v>
      </c>
      <c r="D9" s="88">
        <v>57950.39</v>
      </c>
      <c r="E9" s="89"/>
      <c r="F9" s="89"/>
      <c r="G9" s="87" t="str">
        <f t="shared" si="0"/>
        <v>111122001'= LIMITE DE SAQUE COM VINCULACAO DE PGTO - OFSS1000000000309</v>
      </c>
      <c r="H9" s="87" t="str">
        <f>VLOOKUP(Tabela1[[#This Row],[CONCATENAR]],'Classificações - Demonstrações'!$A$5:$C$46003,2,)</f>
        <v>Disponível</v>
      </c>
      <c r="I9" s="87"/>
    </row>
    <row r="10" spans="1:9" ht="12.75" customHeight="1" x14ac:dyDescent="0.2">
      <c r="A10" s="94" t="s">
        <v>5266</v>
      </c>
      <c r="B10" s="87" t="s">
        <v>3</v>
      </c>
      <c r="C10" s="87" t="s">
        <v>8</v>
      </c>
      <c r="D10" s="88">
        <v>752982.82</v>
      </c>
      <c r="E10" s="89"/>
      <c r="F10" s="89"/>
      <c r="G10" s="87" t="str">
        <f t="shared" si="0"/>
        <v>111122001'= LIMITE DE SAQUE COM VINCULACAO DE PGTO - OFSS1000000000310</v>
      </c>
      <c r="H10" s="87" t="str">
        <f>VLOOKUP(Tabela1[[#This Row],[CONCATENAR]],'Classificações - Demonstrações'!$A$5:$C$46003,2,)</f>
        <v>Disponível</v>
      </c>
      <c r="I10" s="87"/>
    </row>
    <row r="11" spans="1:9" ht="12.75" customHeight="1" x14ac:dyDescent="0.2">
      <c r="A11" s="94" t="s">
        <v>5266</v>
      </c>
      <c r="B11" s="87" t="s">
        <v>3</v>
      </c>
      <c r="C11" s="87" t="s">
        <v>9</v>
      </c>
      <c r="D11" s="88">
        <v>25257.18</v>
      </c>
      <c r="E11" s="89"/>
      <c r="F11" s="89"/>
      <c r="G11" s="87" t="str">
        <f t="shared" si="0"/>
        <v>111122001'= LIMITE DE SAQUE COM VINCULACAO DE PGTO - OFSS1000000000340</v>
      </c>
      <c r="H11" s="87" t="str">
        <f>VLOOKUP(Tabela1[[#This Row],[CONCATENAR]],'Classificações - Demonstrações'!$A$5:$C$46003,2,)</f>
        <v>Disponível</v>
      </c>
      <c r="I11" s="87"/>
    </row>
    <row r="12" spans="1:9" ht="12.75" customHeight="1" x14ac:dyDescent="0.2">
      <c r="A12" s="94" t="s">
        <v>5266</v>
      </c>
      <c r="B12" s="87" t="s">
        <v>3</v>
      </c>
      <c r="C12" s="87" t="s">
        <v>10</v>
      </c>
      <c r="D12" s="88">
        <v>15977.53</v>
      </c>
      <c r="E12" s="89"/>
      <c r="F12" s="89"/>
      <c r="G12" s="87" t="str">
        <f t="shared" si="0"/>
        <v>111122001'= LIMITE DE SAQUE COM VINCULACAO DE PGTO - OFSS1000000000400</v>
      </c>
      <c r="H12" s="87" t="str">
        <f>VLOOKUP(Tabela1[[#This Row],[CONCATENAR]],'Classificações - Demonstrações'!$A$5:$C$46003,2,)</f>
        <v>Disponível</v>
      </c>
      <c r="I12" s="87"/>
    </row>
    <row r="13" spans="1:9" ht="12.75" customHeight="1" x14ac:dyDescent="0.2">
      <c r="A13" s="94" t="s">
        <v>5266</v>
      </c>
      <c r="B13" s="87" t="s">
        <v>3</v>
      </c>
      <c r="C13" s="87" t="s">
        <v>11</v>
      </c>
      <c r="D13" s="88">
        <v>2731047.75</v>
      </c>
      <c r="E13" s="89"/>
      <c r="F13" s="89"/>
      <c r="G13" s="87" t="str">
        <f t="shared" si="0"/>
        <v>111122001'= LIMITE DE SAQUE COM VINCULACAO DE PGTO - OFSS1000000000510</v>
      </c>
      <c r="H13" s="87" t="str">
        <f>VLOOKUP(Tabela1[[#This Row],[CONCATENAR]],'Classificações - Demonstrações'!$A$5:$C$46003,2,)</f>
        <v>Disponível</v>
      </c>
      <c r="I13" s="87"/>
    </row>
    <row r="14" spans="1:9" ht="12.75" customHeight="1" x14ac:dyDescent="0.2">
      <c r="A14" s="94" t="s">
        <v>5266</v>
      </c>
      <c r="B14" s="87" t="s">
        <v>3</v>
      </c>
      <c r="C14" s="87" t="s">
        <v>12</v>
      </c>
      <c r="D14" s="88">
        <v>27543275.760000002</v>
      </c>
      <c r="E14" s="89"/>
      <c r="F14" s="89"/>
      <c r="G14" s="87" t="str">
        <f t="shared" si="0"/>
        <v>111122001'= LIMITE DE SAQUE COM VINCULACAO DE PGTO - OFSS1050000266400</v>
      </c>
      <c r="H14" s="87" t="str">
        <f>VLOOKUP(Tabela1[[#This Row],[CONCATENAR]],'Classificações - Demonstrações'!$A$5:$C$46003,2,)</f>
        <v>Disponível</v>
      </c>
      <c r="I14" s="87"/>
    </row>
    <row r="15" spans="1:9" ht="12.75" customHeight="1" x14ac:dyDescent="0.2">
      <c r="A15" s="94" t="s">
        <v>5266</v>
      </c>
      <c r="B15" s="87" t="s">
        <v>3</v>
      </c>
      <c r="C15" s="87" t="s">
        <v>13</v>
      </c>
      <c r="D15" s="88">
        <v>0</v>
      </c>
      <c r="E15" s="89"/>
      <c r="F15" s="89"/>
      <c r="G15" s="87" t="str">
        <f t="shared" si="0"/>
        <v>111122001'= LIMITE DE SAQUE COM VINCULACAO DE PGTO - OFSS1050000266500</v>
      </c>
      <c r="H15" s="87" t="str">
        <f>VLOOKUP(Tabela1[[#This Row],[CONCATENAR]],'Classificações - Demonstrações'!$A$5:$C$46003,2,)</f>
        <v>Disponível</v>
      </c>
      <c r="I15" s="87"/>
    </row>
    <row r="16" spans="1:9" ht="12.75" customHeight="1" x14ac:dyDescent="0.2">
      <c r="A16" s="94" t="s">
        <v>5266</v>
      </c>
      <c r="B16" s="87" t="s">
        <v>3</v>
      </c>
      <c r="C16" s="87" t="s">
        <v>14</v>
      </c>
      <c r="D16" s="88">
        <v>0</v>
      </c>
      <c r="E16" s="89"/>
      <c r="F16" s="89"/>
      <c r="G16" s="87" t="str">
        <f t="shared" si="0"/>
        <v>111122001'= LIMITE DE SAQUE COM VINCULACAO DE PGTO - OFSS1491000000990</v>
      </c>
      <c r="H16" s="87" t="str">
        <f>VLOOKUP(Tabela1[[#This Row],[CONCATENAR]],'Classificações - Demonstrações'!$A$5:$C$46003,2,)</f>
        <v>Disponível</v>
      </c>
      <c r="I16" s="87"/>
    </row>
    <row r="17" spans="1:9" ht="12.75" customHeight="1" x14ac:dyDescent="0.2">
      <c r="A17" s="94" t="s">
        <v>5266</v>
      </c>
      <c r="B17" s="87" t="s">
        <v>3</v>
      </c>
      <c r="C17" s="87" t="s">
        <v>15</v>
      </c>
      <c r="D17" s="88">
        <v>0</v>
      </c>
      <c r="E17" s="89"/>
      <c r="F17" s="89"/>
      <c r="G17" s="87" t="str">
        <f t="shared" si="0"/>
        <v>111122001'= LIMITE DE SAQUE COM VINCULACAO DE PGTO - OFSS1491980000990</v>
      </c>
      <c r="H17" s="87" t="str">
        <f>VLOOKUP(Tabela1[[#This Row],[CONCATENAR]],'Classificações - Demonstrações'!$A$5:$C$46003,2,)</f>
        <v>Disponível</v>
      </c>
      <c r="I17" s="87"/>
    </row>
    <row r="18" spans="1:9" ht="12.75" customHeight="1" x14ac:dyDescent="0.2">
      <c r="A18" s="94" t="s">
        <v>5266</v>
      </c>
      <c r="B18" s="87" t="s">
        <v>3</v>
      </c>
      <c r="C18" s="87" t="s">
        <v>5974</v>
      </c>
      <c r="D18" s="88">
        <v>0</v>
      </c>
      <c r="E18" s="89"/>
      <c r="F18" s="89"/>
      <c r="G18" s="87" t="str">
        <f t="shared" si="0"/>
        <v>111122001'= LIMITE DE SAQUE COM VINCULACAO DE PGTO - OFSS1491980005990</v>
      </c>
      <c r="H18" s="87" t="str">
        <f>VLOOKUP(Tabela1[[#This Row],[CONCATENAR]],'Classificações - Demonstrações'!$A$5:$C$46003,2,)</f>
        <v>Disponível</v>
      </c>
      <c r="I18" s="87"/>
    </row>
    <row r="19" spans="1:9" ht="12.75" customHeight="1" x14ac:dyDescent="0.2">
      <c r="A19" s="94" t="s">
        <v>5266</v>
      </c>
      <c r="B19" s="87" t="s">
        <v>3</v>
      </c>
      <c r="C19" s="87" t="s">
        <v>16</v>
      </c>
      <c r="D19" s="88">
        <v>0</v>
      </c>
      <c r="E19" s="89"/>
      <c r="F19" s="89"/>
      <c r="G19" s="87" t="str">
        <f t="shared" si="0"/>
        <v>111122001'= LIMITE DE SAQUE COM VINCULACAO DE PGTO - OFSS3050000266400</v>
      </c>
      <c r="H19" s="87" t="str">
        <f>VLOOKUP(Tabela1[[#This Row],[CONCATENAR]],'Classificações - Demonstrações'!$A$5:$C$46003,2,)</f>
        <v>Disponível</v>
      </c>
      <c r="I19" s="87"/>
    </row>
    <row r="20" spans="1:9" ht="12.75" customHeight="1" x14ac:dyDescent="0.2">
      <c r="A20" s="94" t="s">
        <v>5267</v>
      </c>
      <c r="B20" s="87" t="s">
        <v>17</v>
      </c>
      <c r="C20" s="87" t="s">
        <v>4</v>
      </c>
      <c r="D20" s="88">
        <v>0</v>
      </c>
      <c r="E20" s="89"/>
      <c r="F20" s="89"/>
      <c r="G20" s="87" t="str">
        <f t="shared" si="0"/>
        <v>111122003'= LIM DE SAQUE C/VINC.PAGTO- ORDEM PAGTO - OFSS1000000000130</v>
      </c>
      <c r="H20" s="87" t="str">
        <f>VLOOKUP(Tabela1[[#This Row],[CONCATENAR]],'Classificações - Demonstrações'!$A$5:$C$46003,2,)</f>
        <v>Disponível</v>
      </c>
      <c r="I20" s="87"/>
    </row>
    <row r="21" spans="1:9" ht="12.75" customHeight="1" x14ac:dyDescent="0.2">
      <c r="A21" s="94" t="s">
        <v>5267</v>
      </c>
      <c r="B21" s="87" t="s">
        <v>17</v>
      </c>
      <c r="C21" s="87" t="s">
        <v>5</v>
      </c>
      <c r="D21" s="88">
        <v>0</v>
      </c>
      <c r="E21" s="89"/>
      <c r="F21" s="89"/>
      <c r="G21" s="87" t="str">
        <f t="shared" si="0"/>
        <v>111122003'= LIM DE SAQUE C/VINC.PAGTO- ORDEM PAGTO - OFSS1000000000307</v>
      </c>
      <c r="H21" s="87" t="str">
        <f>VLOOKUP(Tabela1[[#This Row],[CONCATENAR]],'Classificações - Demonstrações'!$A$5:$C$46003,2,)</f>
        <v>Disponível</v>
      </c>
      <c r="I21" s="87"/>
    </row>
    <row r="22" spans="1:9" ht="12.75" customHeight="1" x14ac:dyDescent="0.2">
      <c r="A22" s="94" t="s">
        <v>5267</v>
      </c>
      <c r="B22" s="87" t="s">
        <v>17</v>
      </c>
      <c r="C22" s="87" t="s">
        <v>6</v>
      </c>
      <c r="D22" s="88">
        <v>1253300.5900000001</v>
      </c>
      <c r="E22" s="89"/>
      <c r="F22" s="89"/>
      <c r="G22" s="87" t="str">
        <f t="shared" si="0"/>
        <v>111122003'= LIM DE SAQUE C/VINC.PAGTO- ORDEM PAGTO - OFSS1000000000308</v>
      </c>
      <c r="H22" s="87" t="str">
        <f>VLOOKUP(Tabela1[[#This Row],[CONCATENAR]],'Classificações - Demonstrações'!$A$5:$C$46003,2,)</f>
        <v>Disponível</v>
      </c>
      <c r="I22" s="87"/>
    </row>
    <row r="23" spans="1:9" ht="12.75" customHeight="1" x14ac:dyDescent="0.2">
      <c r="A23" s="94" t="s">
        <v>5267</v>
      </c>
      <c r="B23" s="87" t="s">
        <v>17</v>
      </c>
      <c r="C23" s="87" t="s">
        <v>7</v>
      </c>
      <c r="D23" s="88">
        <v>0</v>
      </c>
      <c r="E23" s="89"/>
      <c r="F23" s="89"/>
      <c r="G23" s="87" t="str">
        <f t="shared" si="0"/>
        <v>111122003'= LIM DE SAQUE C/VINC.PAGTO- ORDEM PAGTO - OFSS1000000000309</v>
      </c>
      <c r="H23" s="87" t="str">
        <f>VLOOKUP(Tabela1[[#This Row],[CONCATENAR]],'Classificações - Demonstrações'!$A$5:$C$46003,2,)</f>
        <v>Disponível</v>
      </c>
      <c r="I23" s="87"/>
    </row>
    <row r="24" spans="1:9" ht="12.75" customHeight="1" x14ac:dyDescent="0.2">
      <c r="A24" s="94" t="s">
        <v>5267</v>
      </c>
      <c r="B24" s="87" t="s">
        <v>17</v>
      </c>
      <c r="C24" s="87" t="s">
        <v>8</v>
      </c>
      <c r="D24" s="88">
        <v>12510000.16</v>
      </c>
      <c r="E24" s="89"/>
      <c r="F24" s="89"/>
      <c r="G24" s="87" t="str">
        <f t="shared" si="0"/>
        <v>111122003'= LIM DE SAQUE C/VINC.PAGTO- ORDEM PAGTO - OFSS1000000000310</v>
      </c>
      <c r="H24" s="87" t="str">
        <f>VLOOKUP(Tabela1[[#This Row],[CONCATENAR]],'Classificações - Demonstrações'!$A$5:$C$46003,2,)</f>
        <v>Disponível</v>
      </c>
      <c r="I24" s="87"/>
    </row>
    <row r="25" spans="1:9" ht="12.75" customHeight="1" x14ac:dyDescent="0.2">
      <c r="A25" s="94" t="s">
        <v>5267</v>
      </c>
      <c r="B25" s="87" t="s">
        <v>17</v>
      </c>
      <c r="C25" s="87" t="s">
        <v>9</v>
      </c>
      <c r="D25" s="88">
        <v>0</v>
      </c>
      <c r="E25" s="89"/>
      <c r="F25" s="89"/>
      <c r="G25" s="87" t="str">
        <f t="shared" si="0"/>
        <v>111122003'= LIM DE SAQUE C/VINC.PAGTO- ORDEM PAGTO - OFSS1000000000340</v>
      </c>
      <c r="H25" s="87" t="str">
        <f>VLOOKUP(Tabela1[[#This Row],[CONCATENAR]],'Classificações - Demonstrações'!$A$5:$C$46003,2,)</f>
        <v>Disponível</v>
      </c>
      <c r="I25" s="87"/>
    </row>
    <row r="26" spans="1:9" ht="12.75" customHeight="1" x14ac:dyDescent="0.2">
      <c r="A26" s="94" t="s">
        <v>5267</v>
      </c>
      <c r="B26" s="87" t="s">
        <v>17</v>
      </c>
      <c r="C26" s="87" t="s">
        <v>10</v>
      </c>
      <c r="D26" s="89">
        <v>1400</v>
      </c>
      <c r="E26" s="88"/>
      <c r="F26" s="88"/>
      <c r="G26" s="87" t="str">
        <f t="shared" si="0"/>
        <v>111122003'= LIM DE SAQUE C/VINC.PAGTO- ORDEM PAGTO - OFSS1000000000400</v>
      </c>
      <c r="H26" s="87" t="str">
        <f>VLOOKUP(Tabela1[[#This Row],[CONCATENAR]],'Classificações - Demonstrações'!$A$5:$C$46003,2,)</f>
        <v>Disponível</v>
      </c>
      <c r="I26" s="87"/>
    </row>
    <row r="27" spans="1:9" ht="12.75" customHeight="1" x14ac:dyDescent="0.2">
      <c r="A27" s="94" t="s">
        <v>5267</v>
      </c>
      <c r="B27" s="87" t="s">
        <v>17</v>
      </c>
      <c r="C27" s="87" t="s">
        <v>11</v>
      </c>
      <c r="D27" s="89">
        <v>56817</v>
      </c>
      <c r="E27" s="88"/>
      <c r="F27" s="88"/>
      <c r="G27" s="87" t="str">
        <f t="shared" si="0"/>
        <v>111122003'= LIM DE SAQUE C/VINC.PAGTO- ORDEM PAGTO - OFSS1000000000510</v>
      </c>
      <c r="H27" s="87" t="str">
        <f>VLOOKUP(Tabela1[[#This Row],[CONCATENAR]],'Classificações - Demonstrações'!$A$5:$C$46003,2,)</f>
        <v>Disponível</v>
      </c>
      <c r="I27" s="87"/>
    </row>
    <row r="28" spans="1:9" ht="12.75" customHeight="1" x14ac:dyDescent="0.2">
      <c r="A28" s="94" t="s">
        <v>5267</v>
      </c>
      <c r="B28" s="87" t="s">
        <v>17</v>
      </c>
      <c r="C28" s="87" t="s">
        <v>12</v>
      </c>
      <c r="D28" s="89">
        <v>0</v>
      </c>
      <c r="E28" s="88"/>
      <c r="F28" s="88"/>
      <c r="G28" s="87" t="str">
        <f t="shared" si="0"/>
        <v>111122003'= LIM DE SAQUE C/VINC.PAGTO- ORDEM PAGTO - OFSS1050000266400</v>
      </c>
      <c r="H28" s="87" t="str">
        <f>VLOOKUP(Tabela1[[#This Row],[CONCATENAR]],'Classificações - Demonstrações'!$A$5:$C$46003,2,)</f>
        <v>Disponível</v>
      </c>
      <c r="I28" s="87"/>
    </row>
    <row r="29" spans="1:9" ht="12.75" customHeight="1" x14ac:dyDescent="0.2">
      <c r="A29" s="94" t="s">
        <v>5267</v>
      </c>
      <c r="B29" s="87" t="s">
        <v>17</v>
      </c>
      <c r="C29" s="87" t="s">
        <v>13</v>
      </c>
      <c r="D29" s="89">
        <v>0</v>
      </c>
      <c r="E29" s="88"/>
      <c r="F29" s="88"/>
      <c r="G29" s="87" t="str">
        <f t="shared" si="0"/>
        <v>111122003'= LIM DE SAQUE C/VINC.PAGTO- ORDEM PAGTO - OFSS1050000266500</v>
      </c>
      <c r="H29" s="87" t="str">
        <f>VLOOKUP(Tabela1[[#This Row],[CONCATENAR]],'Classificações - Demonstrações'!$A$5:$C$46003,2,)</f>
        <v>Disponível</v>
      </c>
      <c r="I29" s="87"/>
    </row>
    <row r="30" spans="1:9" ht="12.75" customHeight="1" x14ac:dyDescent="0.2">
      <c r="A30" s="94" t="s">
        <v>5267</v>
      </c>
      <c r="B30" s="87" t="s">
        <v>17</v>
      </c>
      <c r="C30" s="87" t="s">
        <v>14</v>
      </c>
      <c r="D30" s="89">
        <v>0</v>
      </c>
      <c r="E30" s="88"/>
      <c r="F30" s="88"/>
      <c r="G30" s="87" t="str">
        <f t="shared" si="0"/>
        <v>111122003'= LIM DE SAQUE C/VINC.PAGTO- ORDEM PAGTO - OFSS1491000000990</v>
      </c>
      <c r="H30" s="87" t="str">
        <f>VLOOKUP(Tabela1[[#This Row],[CONCATENAR]],'Classificações - Demonstrações'!$A$5:$C$46003,2,)</f>
        <v>Disponível</v>
      </c>
      <c r="I30" s="87"/>
    </row>
    <row r="31" spans="1:9" ht="12.75" customHeight="1" x14ac:dyDescent="0.2">
      <c r="A31" s="94" t="s">
        <v>5267</v>
      </c>
      <c r="B31" s="87" t="s">
        <v>17</v>
      </c>
      <c r="C31" s="87" t="s">
        <v>5974</v>
      </c>
      <c r="D31" s="89">
        <v>0</v>
      </c>
      <c r="E31" s="88"/>
      <c r="F31" s="88"/>
      <c r="G31" s="87" t="str">
        <f t="shared" si="0"/>
        <v>111122003'= LIM DE SAQUE C/VINC.PAGTO- ORDEM PAGTO - OFSS1491980005990</v>
      </c>
      <c r="H31" s="87" t="str">
        <f>VLOOKUP(Tabela1[[#This Row],[CONCATENAR]],'Classificações - Demonstrações'!$A$5:$C$46003,2,)</f>
        <v>Disponível</v>
      </c>
      <c r="I31" s="87"/>
    </row>
    <row r="32" spans="1:9" ht="12.75" customHeight="1" x14ac:dyDescent="0.2">
      <c r="A32" s="94" t="s">
        <v>5267</v>
      </c>
      <c r="B32" s="87" t="s">
        <v>17</v>
      </c>
      <c r="C32" s="87" t="s">
        <v>16</v>
      </c>
      <c r="D32" s="89">
        <v>0</v>
      </c>
      <c r="E32" s="88"/>
      <c r="F32" s="88"/>
      <c r="G32" s="87" t="str">
        <f t="shared" si="0"/>
        <v>111122003'= LIM DE SAQUE C/VINC.PAGTO- ORDEM PAGTO - OFSS3050000266400</v>
      </c>
      <c r="H32" s="87" t="str">
        <f>VLOOKUP(Tabela1[[#This Row],[CONCATENAR]],'Classificações - Demonstrações'!$A$5:$C$46003,2,)</f>
        <v>Disponível</v>
      </c>
      <c r="I32" s="87"/>
    </row>
    <row r="33" spans="1:9" ht="12.75" customHeight="1" x14ac:dyDescent="0.2">
      <c r="A33" s="94" t="s">
        <v>5763</v>
      </c>
      <c r="B33" s="87" t="s">
        <v>5764</v>
      </c>
      <c r="C33" s="87" t="s">
        <v>532</v>
      </c>
      <c r="D33" s="89">
        <v>0</v>
      </c>
      <c r="E33" s="88"/>
      <c r="F33" s="88"/>
      <c r="G33" s="87" t="str">
        <f t="shared" si="0"/>
        <v>111310200'= GARANTIAS105000026638503861000165</v>
      </c>
      <c r="H33" s="87" t="str">
        <f>VLOOKUP(Tabela1[[#This Row],[CONCATENAR]],'Classificações - Demonstrações'!$A$5:$C$46003,2,)</f>
        <v>Disponível</v>
      </c>
      <c r="I33" s="87"/>
    </row>
    <row r="34" spans="1:9" ht="12.75" customHeight="1" x14ac:dyDescent="0.2">
      <c r="A34" s="94" t="s">
        <v>5763</v>
      </c>
      <c r="B34" s="87" t="s">
        <v>5764</v>
      </c>
      <c r="C34" s="87" t="s">
        <v>5975</v>
      </c>
      <c r="D34" s="89">
        <v>15696.99</v>
      </c>
      <c r="E34" s="88"/>
      <c r="F34" s="88"/>
      <c r="G34" s="87" t="str">
        <f t="shared" si="0"/>
        <v>111310200'= GARANTIAS149100000002016558000190</v>
      </c>
      <c r="H34" s="87" t="str">
        <f>VLOOKUP(Tabela1[[#This Row],[CONCATENAR]],'Classificações - Demonstrações'!$A$5:$C$46003,2,)</f>
        <v>Disponível</v>
      </c>
      <c r="I34" s="87"/>
    </row>
    <row r="35" spans="1:9" ht="12.75" customHeight="1" x14ac:dyDescent="0.2">
      <c r="A35" s="94" t="s">
        <v>5763</v>
      </c>
      <c r="B35" s="87" t="s">
        <v>5764</v>
      </c>
      <c r="C35" s="87" t="s">
        <v>5976</v>
      </c>
      <c r="D35" s="89">
        <v>121623.08</v>
      </c>
      <c r="E35" s="88"/>
      <c r="F35" s="88"/>
      <c r="G35" s="87" t="str">
        <f t="shared" si="0"/>
        <v>111310200'= GARANTIAS149100000007028841000156</v>
      </c>
      <c r="H35" s="87" t="str">
        <f>VLOOKUP(Tabela1[[#This Row],[CONCATENAR]],'Classificações - Demonstrações'!$A$5:$C$46003,2,)</f>
        <v>Disponível</v>
      </c>
      <c r="I35" s="87"/>
    </row>
    <row r="36" spans="1:9" ht="12.75" customHeight="1" x14ac:dyDescent="0.2">
      <c r="A36" s="94" t="s">
        <v>5763</v>
      </c>
      <c r="B36" s="87" t="s">
        <v>5764</v>
      </c>
      <c r="C36" s="87" t="s">
        <v>5977</v>
      </c>
      <c r="D36" s="89">
        <v>18817.46</v>
      </c>
      <c r="E36" s="88"/>
      <c r="F36" s="88"/>
      <c r="G36" s="87" t="str">
        <f t="shared" si="0"/>
        <v>111310200'= GARANTIAS149100000007710046000143</v>
      </c>
      <c r="H36" s="87" t="str">
        <f>VLOOKUP(Tabela1[[#This Row],[CONCATENAR]],'Classificações - Demonstrações'!$A$5:$C$46003,2,)</f>
        <v>Disponível</v>
      </c>
      <c r="I36" s="87"/>
    </row>
    <row r="37" spans="1:9" ht="12.75" customHeight="1" x14ac:dyDescent="0.2">
      <c r="A37" s="94" t="s">
        <v>5763</v>
      </c>
      <c r="B37" s="87" t="s">
        <v>5764</v>
      </c>
      <c r="C37" s="87" t="s">
        <v>5978</v>
      </c>
      <c r="D37" s="89">
        <v>5635.53</v>
      </c>
      <c r="E37" s="88"/>
      <c r="F37" s="88"/>
      <c r="G37" s="87" t="str">
        <f t="shared" si="0"/>
        <v>111310200'= GARANTIAS149100000009632388000118</v>
      </c>
      <c r="H37" s="87" t="str">
        <f>VLOOKUP(Tabela1[[#This Row],[CONCATENAR]],'Classificações - Demonstrações'!$A$5:$C$46003,2,)</f>
        <v>Disponível</v>
      </c>
      <c r="I37" s="87"/>
    </row>
    <row r="38" spans="1:9" ht="12.75" customHeight="1" x14ac:dyDescent="0.2">
      <c r="A38" s="94" t="s">
        <v>5763</v>
      </c>
      <c r="B38" s="87" t="s">
        <v>5764</v>
      </c>
      <c r="C38" s="87" t="s">
        <v>5979</v>
      </c>
      <c r="D38" s="89">
        <v>87101.88</v>
      </c>
      <c r="E38" s="88"/>
      <c r="F38" s="88"/>
      <c r="G38" s="87" t="str">
        <f t="shared" si="0"/>
        <v>111310200'= GARANTIAS149100000010733675000101</v>
      </c>
      <c r="H38" s="87" t="str">
        <f>VLOOKUP(Tabela1[[#This Row],[CONCATENAR]],'Classificações - Demonstrações'!$A$5:$C$46003,2,)</f>
        <v>Disponível</v>
      </c>
      <c r="I38" s="87"/>
    </row>
    <row r="39" spans="1:9" ht="12.75" customHeight="1" x14ac:dyDescent="0.2">
      <c r="A39" s="94" t="s">
        <v>5763</v>
      </c>
      <c r="B39" s="87" t="s">
        <v>5764</v>
      </c>
      <c r="C39" s="87" t="s">
        <v>5765</v>
      </c>
      <c r="D39" s="89">
        <v>2205.16</v>
      </c>
      <c r="E39" s="88"/>
      <c r="F39" s="88"/>
      <c r="G39" s="87" t="str">
        <f t="shared" si="0"/>
        <v>111310200'= GARANTIAS149100000010992676000162</v>
      </c>
      <c r="H39" s="87" t="str">
        <f>VLOOKUP(Tabela1[[#This Row],[CONCATENAR]],'Classificações - Demonstrações'!$A$5:$C$46003,2,)</f>
        <v>Disponível</v>
      </c>
      <c r="I39" s="87"/>
    </row>
    <row r="40" spans="1:9" ht="12.75" customHeight="1" x14ac:dyDescent="0.2">
      <c r="A40" s="94" t="s">
        <v>5763</v>
      </c>
      <c r="B40" s="87" t="s">
        <v>5764</v>
      </c>
      <c r="C40" s="87" t="s">
        <v>5980</v>
      </c>
      <c r="D40" s="89">
        <v>14383.98</v>
      </c>
      <c r="E40" s="88"/>
      <c r="F40" s="88"/>
      <c r="G40" s="87" t="str">
        <f t="shared" si="0"/>
        <v>111310200'= GARANTIAS149100000011395635000151</v>
      </c>
      <c r="H40" s="87" t="str">
        <f>VLOOKUP(Tabela1[[#This Row],[CONCATENAR]],'Classificações - Demonstrações'!$A$5:$C$46003,2,)</f>
        <v>Disponível</v>
      </c>
      <c r="I40" s="87"/>
    </row>
    <row r="41" spans="1:9" ht="12.75" customHeight="1" x14ac:dyDescent="0.2">
      <c r="A41" s="94" t="s">
        <v>5763</v>
      </c>
      <c r="B41" s="87" t="s">
        <v>5764</v>
      </c>
      <c r="C41" s="87" t="s">
        <v>5981</v>
      </c>
      <c r="D41" s="89">
        <v>84949.26</v>
      </c>
      <c r="E41" s="88"/>
      <c r="F41" s="88"/>
      <c r="G41" s="87" t="str">
        <f t="shared" si="0"/>
        <v>111310200'= GARANTIAS149100000014000561000103</v>
      </c>
      <c r="H41" s="87" t="str">
        <f>VLOOKUP(Tabela1[[#This Row],[CONCATENAR]],'Classificações - Demonstrações'!$A$5:$C$46003,2,)</f>
        <v>Disponível</v>
      </c>
      <c r="I41" s="87"/>
    </row>
    <row r="42" spans="1:9" ht="12.75" customHeight="1" x14ac:dyDescent="0.2">
      <c r="A42" s="94" t="s">
        <v>5763</v>
      </c>
      <c r="B42" s="87" t="s">
        <v>5764</v>
      </c>
      <c r="C42" s="87" t="s">
        <v>5766</v>
      </c>
      <c r="D42" s="89">
        <v>46534.720000000001</v>
      </c>
      <c r="E42" s="88"/>
      <c r="F42" s="88"/>
      <c r="G42" s="87" t="str">
        <f t="shared" si="0"/>
        <v>111310200'= GARANTIAS149100000020477335000102</v>
      </c>
      <c r="H42" s="87" t="str">
        <f>VLOOKUP(Tabela1[[#This Row],[CONCATENAR]],'Classificações - Demonstrações'!$A$5:$C$46003,2,)</f>
        <v>Disponível</v>
      </c>
      <c r="I42" s="87"/>
    </row>
    <row r="43" spans="1:9" ht="12.75" customHeight="1" x14ac:dyDescent="0.2">
      <c r="A43" s="94" t="s">
        <v>5763</v>
      </c>
      <c r="B43" s="87" t="s">
        <v>5764</v>
      </c>
      <c r="C43" s="87" t="s">
        <v>5982</v>
      </c>
      <c r="D43" s="88">
        <v>12721.3</v>
      </c>
      <c r="E43" s="89"/>
      <c r="F43" s="89"/>
      <c r="G43" s="87" t="str">
        <f t="shared" si="0"/>
        <v>111310200'= GARANTIAS149100000029912565000127</v>
      </c>
      <c r="H43" s="87" t="str">
        <f>VLOOKUP(Tabela1[[#This Row],[CONCATENAR]],'Classificações - Demonstrações'!$A$5:$C$46003,2,)</f>
        <v>Disponível</v>
      </c>
      <c r="I43" s="87"/>
    </row>
    <row r="44" spans="1:9" ht="12.75" customHeight="1" x14ac:dyDescent="0.2">
      <c r="A44" s="94" t="s">
        <v>5763</v>
      </c>
      <c r="B44" s="87" t="s">
        <v>5764</v>
      </c>
      <c r="C44" s="87" t="s">
        <v>5767</v>
      </c>
      <c r="D44" s="88">
        <v>28177.7</v>
      </c>
      <c r="E44" s="89"/>
      <c r="F44" s="89"/>
      <c r="G44" s="87" t="str">
        <f t="shared" si="0"/>
        <v>111310200'= GARANTIAS149100000035930513000186</v>
      </c>
      <c r="H44" s="87" t="str">
        <f>VLOOKUP(Tabela1[[#This Row],[CONCATENAR]],'Classificações - Demonstrações'!$A$5:$C$46003,2,)</f>
        <v>Disponível</v>
      </c>
      <c r="I44" s="87"/>
    </row>
    <row r="45" spans="1:9" ht="12.75" customHeight="1" x14ac:dyDescent="0.2">
      <c r="A45" s="94" t="s">
        <v>5763</v>
      </c>
      <c r="B45" s="87" t="s">
        <v>5764</v>
      </c>
      <c r="C45" s="87" t="s">
        <v>5983</v>
      </c>
      <c r="D45" s="88">
        <v>3767.91</v>
      </c>
      <c r="E45" s="89"/>
      <c r="F45" s="89"/>
      <c r="G45" s="87" t="str">
        <f t="shared" si="0"/>
        <v>111310200'= GARANTIAS149100000038503861000165</v>
      </c>
      <c r="H45" s="87" t="str">
        <f>VLOOKUP(Tabela1[[#This Row],[CONCATENAR]],'Classificações - Demonstrações'!$A$5:$C$46003,2,)</f>
        <v>Disponível</v>
      </c>
      <c r="I45" s="87"/>
    </row>
    <row r="46" spans="1:9" ht="12.75" customHeight="1" x14ac:dyDescent="0.2">
      <c r="A46" s="94" t="s">
        <v>18</v>
      </c>
      <c r="B46" s="87" t="s">
        <v>19</v>
      </c>
      <c r="C46" s="87" t="s">
        <v>22</v>
      </c>
      <c r="D46" s="88">
        <v>729670.56</v>
      </c>
      <c r="E46" s="89"/>
      <c r="F46" s="89"/>
      <c r="G46" s="87" t="str">
        <f t="shared" si="0"/>
        <v>112210103'= FATURAS/DUPL A REC - ESTOQUES PROPRIOS03945240000319</v>
      </c>
      <c r="H46" s="87" t="str">
        <f>VLOOKUP(Tabela1[[#This Row],[CONCATENAR]],'Classificações - Demonstrações'!$A$5:$C$46003,2,)</f>
        <v>Contas a Receber</v>
      </c>
      <c r="I46" s="87"/>
    </row>
    <row r="47" spans="1:9" ht="12.75" customHeight="1" x14ac:dyDescent="0.2">
      <c r="A47" s="94" t="s">
        <v>18</v>
      </c>
      <c r="B47" s="87" t="s">
        <v>19</v>
      </c>
      <c r="C47" s="87" t="s">
        <v>293</v>
      </c>
      <c r="D47" s="88">
        <v>2437758.91</v>
      </c>
      <c r="E47" s="89"/>
      <c r="F47" s="89"/>
      <c r="G47" s="87" t="str">
        <f t="shared" si="0"/>
        <v>112210103'= FATURAS/DUPL A REC - ESTOQUES PROPRIOS08237411000107</v>
      </c>
      <c r="H47" s="87" t="str">
        <f>VLOOKUP(Tabela1[[#This Row],[CONCATENAR]],'Classificações - Demonstrações'!$A$5:$C$46003,2,)</f>
        <v>Contas a Receber</v>
      </c>
      <c r="I47" s="87"/>
    </row>
    <row r="48" spans="1:9" ht="12.75" customHeight="1" x14ac:dyDescent="0.2">
      <c r="A48" s="94" t="s">
        <v>18</v>
      </c>
      <c r="B48" s="87" t="s">
        <v>19</v>
      </c>
      <c r="C48" s="87" t="s">
        <v>5984</v>
      </c>
      <c r="D48" s="88">
        <v>37413.31</v>
      </c>
      <c r="E48" s="89"/>
      <c r="F48" s="89"/>
      <c r="G48" s="87" t="str">
        <f>CONCATENATE(A48,B48,C48)</f>
        <v>112210103'= FATURAS/DUPL A REC - ESTOQUES PROPRIOS33000167000454</v>
      </c>
      <c r="H48" s="87" t="str">
        <f>VLOOKUP(Tabela1[[#This Row],[CONCATENAR]],'Classificações - Demonstrações'!$A$5:$C$46003,2,)</f>
        <v>Contas a Receber</v>
      </c>
      <c r="I48" s="87"/>
    </row>
    <row r="49" spans="1:9" ht="12.75" customHeight="1" x14ac:dyDescent="0.2">
      <c r="A49" s="94" t="s">
        <v>18</v>
      </c>
      <c r="B49" s="87" t="s">
        <v>19</v>
      </c>
      <c r="C49" s="87" t="s">
        <v>5768</v>
      </c>
      <c r="D49" s="88">
        <v>332009.84999999998</v>
      </c>
      <c r="E49" s="89"/>
      <c r="F49" s="89"/>
      <c r="G49" s="87" t="str">
        <f t="shared" si="0"/>
        <v>112210103'= FATURAS/DUPL A REC - ESTOQUES PROPRIOS33000167004280</v>
      </c>
      <c r="H49" s="87" t="str">
        <f>VLOOKUP(Tabela1[[#This Row],[CONCATENAR]],'Classificações - Demonstrações'!$A$5:$C$46003,2,)</f>
        <v>Contas a Receber</v>
      </c>
      <c r="I49" s="87"/>
    </row>
    <row r="50" spans="1:9" ht="12.75" customHeight="1" x14ac:dyDescent="0.2">
      <c r="A50" s="94" t="s">
        <v>18</v>
      </c>
      <c r="B50" s="87" t="s">
        <v>19</v>
      </c>
      <c r="C50" s="87" t="s">
        <v>5654</v>
      </c>
      <c r="D50" s="88">
        <v>4356811.33</v>
      </c>
      <c r="E50" s="89"/>
      <c r="F50" s="89"/>
      <c r="G50" s="87" t="str">
        <f t="shared" si="0"/>
        <v>112210103'= FATURAS/DUPL A REC - ESTOQUES PROPRIOS33000167026410</v>
      </c>
      <c r="H50" s="87" t="str">
        <f>VLOOKUP(Tabela1[[#This Row],[CONCATENAR]],'Classificações - Demonstrações'!$A$5:$C$46003,2,)</f>
        <v>Contas a Receber</v>
      </c>
      <c r="I50" s="87"/>
    </row>
    <row r="51" spans="1:9" ht="12.75" customHeight="1" x14ac:dyDescent="0.2">
      <c r="A51" s="94" t="s">
        <v>18</v>
      </c>
      <c r="B51" s="87" t="s">
        <v>19</v>
      </c>
      <c r="C51" s="87" t="s">
        <v>5985</v>
      </c>
      <c r="D51" s="88">
        <v>264177.11</v>
      </c>
      <c r="E51" s="89"/>
      <c r="F51" s="89"/>
      <c r="G51" s="87" t="str">
        <f t="shared" si="0"/>
        <v>112210103'= FATURAS/DUPL A REC - ESTOQUES PROPRIOS33000167029274</v>
      </c>
      <c r="H51" s="87" t="str">
        <f>VLOOKUP(Tabela1[[#This Row],[CONCATENAR]],'Classificações - Demonstrações'!$A$5:$C$46003,2,)</f>
        <v>Contas a Receber</v>
      </c>
      <c r="I51" s="87"/>
    </row>
    <row r="52" spans="1:9" ht="12.75" customHeight="1" x14ac:dyDescent="0.2">
      <c r="A52" s="94" t="s">
        <v>18</v>
      </c>
      <c r="B52" s="87" t="s">
        <v>19</v>
      </c>
      <c r="C52" s="87" t="s">
        <v>5769</v>
      </c>
      <c r="D52" s="88">
        <v>121924.03</v>
      </c>
      <c r="E52" s="89"/>
      <c r="F52" s="89"/>
      <c r="G52" s="87" t="str">
        <f t="shared" si="0"/>
        <v>112210103'= FATURAS/DUPL A REC - ESTOQUES PROPRIOS33000167031503</v>
      </c>
      <c r="H52" s="87" t="str">
        <f>VLOOKUP(Tabela1[[#This Row],[CONCATENAR]],'Classificações - Demonstrações'!$A$5:$C$46003,2,)</f>
        <v>Contas a Receber</v>
      </c>
      <c r="I52" s="87"/>
    </row>
    <row r="53" spans="1:9" ht="12.75" customHeight="1" x14ac:dyDescent="0.2">
      <c r="A53" s="94" t="s">
        <v>18</v>
      </c>
      <c r="B53" s="87" t="s">
        <v>19</v>
      </c>
      <c r="C53" s="87" t="s">
        <v>5770</v>
      </c>
      <c r="D53" s="88">
        <v>492347.8</v>
      </c>
      <c r="E53" s="89"/>
      <c r="F53" s="89"/>
      <c r="G53" s="87" t="str">
        <f t="shared" si="0"/>
        <v>112210103'= FATURAS/DUPL A REC - ESTOQUES PROPRIOS33000167036645</v>
      </c>
      <c r="H53" s="87" t="str">
        <f>VLOOKUP(Tabela1[[#This Row],[CONCATENAR]],'Classificações - Demonstrações'!$A$5:$C$46003,2,)</f>
        <v>Contas a Receber</v>
      </c>
      <c r="I53" s="87"/>
    </row>
    <row r="54" spans="1:9" ht="12.75" customHeight="1" x14ac:dyDescent="0.2">
      <c r="A54" s="94" t="s">
        <v>18</v>
      </c>
      <c r="B54" s="87" t="s">
        <v>19</v>
      </c>
      <c r="C54" s="87" t="s">
        <v>5986</v>
      </c>
      <c r="D54" s="88">
        <v>456181.96</v>
      </c>
      <c r="E54" s="89"/>
      <c r="F54" s="89"/>
      <c r="G54" s="87" t="str">
        <f t="shared" si="0"/>
        <v>112210103'= FATURAS/DUPL A REC - ESTOQUES PROPRIOS33000167037102</v>
      </c>
      <c r="H54" s="87" t="str">
        <f>VLOOKUP(Tabela1[[#This Row],[CONCATENAR]],'Classificações - Demonstrações'!$A$5:$C$46003,2,)</f>
        <v>Contas a Receber</v>
      </c>
      <c r="I54" s="87"/>
    </row>
    <row r="55" spans="1:9" ht="12.75" customHeight="1" x14ac:dyDescent="0.2">
      <c r="A55" s="94" t="s">
        <v>18</v>
      </c>
      <c r="B55" s="87" t="s">
        <v>19</v>
      </c>
      <c r="C55" s="87" t="s">
        <v>5655</v>
      </c>
      <c r="D55" s="88">
        <v>1414164.08</v>
      </c>
      <c r="E55" s="89"/>
      <c r="F55" s="89"/>
      <c r="G55" s="87" t="str">
        <f t="shared" si="0"/>
        <v>112210103'= FATURAS/DUPL A REC - ESTOQUES PROPRIOS33000167037706</v>
      </c>
      <c r="H55" s="87" t="str">
        <f>VLOOKUP(Tabela1[[#This Row],[CONCATENAR]],'Classificações - Demonstrações'!$A$5:$C$46003,2,)</f>
        <v>Contas a Receber</v>
      </c>
      <c r="I55" s="87"/>
    </row>
    <row r="56" spans="1:9" ht="12.75" customHeight="1" x14ac:dyDescent="0.2">
      <c r="A56" s="94" t="s">
        <v>18</v>
      </c>
      <c r="B56" s="87" t="s">
        <v>19</v>
      </c>
      <c r="C56" s="87" t="s">
        <v>5656</v>
      </c>
      <c r="D56" s="88">
        <v>239910.86</v>
      </c>
      <c r="E56" s="89"/>
      <c r="F56" s="89"/>
      <c r="G56" s="87" t="str">
        <f t="shared" si="0"/>
        <v>112210103'= FATURAS/DUPL A REC - ESTOQUES PROPRIOS33000167037889</v>
      </c>
      <c r="H56" s="87" t="str">
        <f>VLOOKUP(Tabela1[[#This Row],[CONCATENAR]],'Classificações - Demonstrações'!$A$5:$C$46003,2,)</f>
        <v>Contas a Receber</v>
      </c>
      <c r="I56" s="87"/>
    </row>
    <row r="57" spans="1:9" ht="12.75" customHeight="1" x14ac:dyDescent="0.2">
      <c r="A57" s="94" t="s">
        <v>18</v>
      </c>
      <c r="B57" s="87" t="s">
        <v>19</v>
      </c>
      <c r="C57" s="87" t="s">
        <v>5549</v>
      </c>
      <c r="D57" s="88">
        <v>4273201.83</v>
      </c>
      <c r="E57" s="89"/>
      <c r="F57" s="89"/>
      <c r="G57" s="87" t="str">
        <f t="shared" si="0"/>
        <v>112210103'= FATURAS/DUPL A REC - ESTOQUES PROPRIOS33000167105558</v>
      </c>
      <c r="H57" s="87" t="str">
        <f>VLOOKUP(Tabela1[[#This Row],[CONCATENAR]],'Classificações - Demonstrações'!$A$5:$C$46003,2,)</f>
        <v>Contas a Receber</v>
      </c>
      <c r="I57" s="87"/>
    </row>
    <row r="58" spans="1:9" ht="12.75" customHeight="1" x14ac:dyDescent="0.2">
      <c r="A58" s="94" t="s">
        <v>18</v>
      </c>
      <c r="B58" s="87" t="s">
        <v>19</v>
      </c>
      <c r="C58" s="87" t="s">
        <v>24</v>
      </c>
      <c r="D58" s="88">
        <v>3031616.98</v>
      </c>
      <c r="E58" s="89"/>
      <c r="F58" s="89"/>
      <c r="G58" s="87" t="str">
        <f t="shared" si="0"/>
        <v>112210103'= FATURAS/DUPL A REC - ESTOQUES PROPRIOS33220880000160</v>
      </c>
      <c r="H58" s="87" t="str">
        <f>VLOOKUP(Tabela1[[#This Row],[CONCATENAR]],'Classificações - Demonstrações'!$A$5:$C$46003,2,)</f>
        <v>Contas a Receber</v>
      </c>
      <c r="I58" s="87"/>
    </row>
    <row r="59" spans="1:9" ht="12.75" customHeight="1" x14ac:dyDescent="0.2">
      <c r="A59" s="94" t="s">
        <v>18</v>
      </c>
      <c r="B59" s="87" t="s">
        <v>19</v>
      </c>
      <c r="C59" s="87" t="s">
        <v>41</v>
      </c>
      <c r="D59" s="88">
        <v>25428.45</v>
      </c>
      <c r="E59" s="89"/>
      <c r="F59" s="89"/>
      <c r="G59" s="87" t="str">
        <f t="shared" si="0"/>
        <v>112210103'= FATURAS/DUPL A REC - ESTOQUES PROPRIOS42540211000167</v>
      </c>
      <c r="H59" s="87" t="str">
        <f>VLOOKUP(Tabela1[[#This Row],[CONCATENAR]],'Classificações - Demonstrações'!$A$5:$C$46003,2,)</f>
        <v>Contas a Receber</v>
      </c>
      <c r="I59" s="87"/>
    </row>
    <row r="60" spans="1:9" ht="12.75" customHeight="1" x14ac:dyDescent="0.2">
      <c r="A60" s="94" t="s">
        <v>18</v>
      </c>
      <c r="B60" s="87" t="s">
        <v>19</v>
      </c>
      <c r="C60" s="87" t="s">
        <v>29</v>
      </c>
      <c r="D60" s="88">
        <v>1062051.46</v>
      </c>
      <c r="E60" s="89"/>
      <c r="F60" s="89"/>
      <c r="G60" s="87" t="str">
        <f t="shared" si="0"/>
        <v>112210103'= FATURAS/DUPL A REC - ESTOQUES PROPRIOS42540211000248</v>
      </c>
      <c r="H60" s="87" t="str">
        <f>VLOOKUP(Tabela1[[#This Row],[CONCATENAR]],'Classificações - Demonstrações'!$A$5:$C$46003,2,)</f>
        <v>Contas a Receber</v>
      </c>
      <c r="I60" s="87"/>
    </row>
    <row r="61" spans="1:9" ht="12.75" customHeight="1" x14ac:dyDescent="0.2">
      <c r="A61" s="94" t="s">
        <v>18</v>
      </c>
      <c r="B61" s="87" t="s">
        <v>19</v>
      </c>
      <c r="C61" s="87" t="s">
        <v>30</v>
      </c>
      <c r="D61" s="89">
        <v>2697428.57</v>
      </c>
      <c r="E61" s="88"/>
      <c r="F61" s="88"/>
      <c r="G61" s="87" t="str">
        <f t="shared" si="0"/>
        <v>112210103'= FATURAS/DUPL A REC - ESTOQUES PROPRIOS46004538000175</v>
      </c>
      <c r="H61" s="87" t="str">
        <f>VLOOKUP(Tabela1[[#This Row],[CONCATENAR]],'Classificações - Demonstrações'!$A$5:$C$46003,2,)</f>
        <v>Contas a Receber</v>
      </c>
      <c r="I61" s="87"/>
    </row>
    <row r="62" spans="1:9" ht="12.75" customHeight="1" x14ac:dyDescent="0.2">
      <c r="A62" s="94" t="s">
        <v>32</v>
      </c>
      <c r="B62" s="87" t="s">
        <v>33</v>
      </c>
      <c r="C62" s="87" t="s">
        <v>5987</v>
      </c>
      <c r="D62" s="89">
        <v>179000</v>
      </c>
      <c r="E62" s="88"/>
      <c r="F62" s="88"/>
      <c r="G62" s="87" t="str">
        <f t="shared" si="0"/>
        <v>112210106'= FATURAS/DUPL A REC - PRESTACAO DE SERVICOS00202759000157</v>
      </c>
      <c r="H62" s="87" t="str">
        <f>VLOOKUP(Tabela1[[#This Row],[CONCATENAR]],'Classificações - Demonstrações'!$A$5:$C$46003,2,)</f>
        <v>Contas a Receber</v>
      </c>
      <c r="I62" s="87"/>
    </row>
    <row r="63" spans="1:9" ht="12.75" customHeight="1" x14ac:dyDescent="0.2">
      <c r="A63" s="94" t="s">
        <v>32</v>
      </c>
      <c r="B63" s="87" t="s">
        <v>33</v>
      </c>
      <c r="C63" s="87" t="s">
        <v>36</v>
      </c>
      <c r="D63" s="89">
        <v>93450.84</v>
      </c>
      <c r="E63" s="88"/>
      <c r="F63" s="88"/>
      <c r="G63" s="87" t="str">
        <f t="shared" si="0"/>
        <v>112210106'= FATURAS/DUPL A REC - PRESTACAO DE SERVICOS03945240000157</v>
      </c>
      <c r="H63" s="87" t="str">
        <f>VLOOKUP(Tabela1[[#This Row],[CONCATENAR]],'Classificações - Demonstrações'!$A$5:$C$46003,2,)</f>
        <v>Contas a Receber</v>
      </c>
      <c r="I63" s="87"/>
    </row>
    <row r="64" spans="1:9" ht="12.75" customHeight="1" x14ac:dyDescent="0.2">
      <c r="A64" s="94" t="s">
        <v>32</v>
      </c>
      <c r="B64" s="87" t="s">
        <v>33</v>
      </c>
      <c r="C64" s="87" t="s">
        <v>27</v>
      </c>
      <c r="D64" s="89">
        <v>190000</v>
      </c>
      <c r="E64" s="88"/>
      <c r="F64" s="88"/>
      <c r="G64" s="87" t="str">
        <f t="shared" si="0"/>
        <v>112210106'= FATURAS/DUPL A REC - PRESTACAO DE SERVICOS37513014000119</v>
      </c>
      <c r="H64" s="87" t="str">
        <f>VLOOKUP(Tabela1[[#This Row],[CONCATENAR]],'Classificações - Demonstrações'!$A$5:$C$46003,2,)</f>
        <v>Contas a Receber</v>
      </c>
      <c r="I64" s="87"/>
    </row>
    <row r="65" spans="1:9" ht="12.75" customHeight="1" x14ac:dyDescent="0.2">
      <c r="A65" s="94" t="s">
        <v>32</v>
      </c>
      <c r="B65" s="87" t="s">
        <v>33</v>
      </c>
      <c r="C65" s="87" t="s">
        <v>41</v>
      </c>
      <c r="D65" s="89">
        <v>92568.12</v>
      </c>
      <c r="E65" s="88"/>
      <c r="F65" s="88"/>
      <c r="G65" s="87" t="str">
        <f t="shared" si="0"/>
        <v>112210106'= FATURAS/DUPL A REC - PRESTACAO DE SERVICOS42540211000167</v>
      </c>
      <c r="H65" s="87" t="str">
        <f>VLOOKUP(Tabela1[[#This Row],[CONCATENAR]],'Classificações - Demonstrações'!$A$5:$C$46003,2,)</f>
        <v>Contas a Receber</v>
      </c>
      <c r="I65" s="87"/>
    </row>
    <row r="66" spans="1:9" ht="12.75" customHeight="1" x14ac:dyDescent="0.2">
      <c r="A66" s="94" t="s">
        <v>5268</v>
      </c>
      <c r="B66" s="87" t="s">
        <v>42</v>
      </c>
      <c r="C66" s="87" t="s">
        <v>43</v>
      </c>
      <c r="D66" s="89">
        <v>1629715.14</v>
      </c>
      <c r="E66" s="88"/>
      <c r="F66" s="88"/>
      <c r="G66" s="87" t="str">
        <f t="shared" si="0"/>
        <v>113110101'= 13 SALARIO - ADIANTAMENTOPF9999905</v>
      </c>
      <c r="H66" s="87" t="str">
        <f>VLOOKUP(Tabela1[[#This Row],[CONCATENAR]],'Classificações - Demonstrações'!$A$5:$C$46003,2,)</f>
        <v>Outros Créditos</v>
      </c>
      <c r="I66" s="87"/>
    </row>
    <row r="67" spans="1:9" ht="12.75" customHeight="1" x14ac:dyDescent="0.2">
      <c r="A67" s="94" t="s">
        <v>5269</v>
      </c>
      <c r="B67" s="87" t="s">
        <v>44</v>
      </c>
      <c r="C67" s="87" t="s">
        <v>290</v>
      </c>
      <c r="D67" s="89">
        <v>16157.96</v>
      </c>
      <c r="E67" s="88"/>
      <c r="F67" s="88"/>
      <c r="G67" s="87" t="str">
        <f t="shared" si="0"/>
        <v>113110103'= VIAGENS - ADIANTAMENTO00000000000191</v>
      </c>
      <c r="H67" s="87" t="str">
        <f>VLOOKUP(Tabela1[[#This Row],[CONCATENAR]],'Classificações - Demonstrações'!$A$5:$C$46003,2,)</f>
        <v>Outros Créditos</v>
      </c>
      <c r="I67" s="87"/>
    </row>
    <row r="68" spans="1:9" ht="12.75" customHeight="1" x14ac:dyDescent="0.2">
      <c r="A68" s="94" t="s">
        <v>5269</v>
      </c>
      <c r="B68" s="87" t="s">
        <v>44</v>
      </c>
      <c r="C68" s="87" t="s">
        <v>45</v>
      </c>
      <c r="D68" s="89">
        <v>3644</v>
      </c>
      <c r="E68" s="88"/>
      <c r="F68" s="88"/>
      <c r="G68" s="87" t="str">
        <f t="shared" si="0"/>
        <v>113110103'= VIAGENS - ADIANTAMENTO00021221707</v>
      </c>
      <c r="H68" s="87" t="str">
        <f>VLOOKUP(Tabela1[[#This Row],[CONCATENAR]],'Classificações - Demonstrações'!$A$5:$C$46003,2,)</f>
        <v>Outros Créditos</v>
      </c>
      <c r="I68" s="87"/>
    </row>
    <row r="69" spans="1:9" ht="12.75" customHeight="1" x14ac:dyDescent="0.2">
      <c r="A69" s="94" t="s">
        <v>5269</v>
      </c>
      <c r="B69" s="87" t="s">
        <v>44</v>
      </c>
      <c r="C69" s="87" t="s">
        <v>46</v>
      </c>
      <c r="D69" s="89">
        <v>37362.5</v>
      </c>
      <c r="E69" s="88"/>
      <c r="F69" s="88"/>
      <c r="G69" s="87" t="str">
        <f t="shared" ref="G69:G132" si="1">CONCATENATE(A69,B69,C69)</f>
        <v>113110103'= VIAGENS - ADIANTAMENTO00085062723</v>
      </c>
      <c r="H69" s="87" t="str">
        <f>VLOOKUP(Tabela1[[#This Row],[CONCATENAR]],'Classificações - Demonstrações'!$A$5:$C$46003,2,)</f>
        <v>Outros Créditos</v>
      </c>
      <c r="I69" s="87"/>
    </row>
    <row r="70" spans="1:9" ht="12.75" customHeight="1" x14ac:dyDescent="0.2">
      <c r="A70" s="94" t="s">
        <v>5269</v>
      </c>
      <c r="B70" s="87" t="s">
        <v>44</v>
      </c>
      <c r="C70" s="87" t="s">
        <v>47</v>
      </c>
      <c r="D70" s="89">
        <v>52563</v>
      </c>
      <c r="E70" s="88"/>
      <c r="F70" s="88"/>
      <c r="G70" s="87" t="str">
        <f t="shared" si="1"/>
        <v>113110103'= VIAGENS - ADIANTAMENTO00345967712</v>
      </c>
      <c r="H70" s="87" t="str">
        <f>VLOOKUP(Tabela1[[#This Row],[CONCATENAR]],'Classificações - Demonstrações'!$A$5:$C$46003,2,)</f>
        <v>Outros Créditos</v>
      </c>
      <c r="I70" s="87"/>
    </row>
    <row r="71" spans="1:9" ht="12.75" customHeight="1" x14ac:dyDescent="0.2">
      <c r="A71" s="94" t="s">
        <v>5269</v>
      </c>
      <c r="B71" s="87" t="s">
        <v>44</v>
      </c>
      <c r="C71" s="87" t="s">
        <v>48</v>
      </c>
      <c r="D71" s="89">
        <v>7592</v>
      </c>
      <c r="E71" s="88"/>
      <c r="F71" s="88"/>
      <c r="G71" s="87" t="str">
        <f t="shared" si="1"/>
        <v>113110103'= VIAGENS - ADIANTAMENTO00479751722</v>
      </c>
      <c r="H71" s="87" t="str">
        <f>VLOOKUP(Tabela1[[#This Row],[CONCATENAR]],'Classificações - Demonstrações'!$A$5:$C$46003,2,)</f>
        <v>Outros Créditos</v>
      </c>
      <c r="I71" s="87"/>
    </row>
    <row r="72" spans="1:9" ht="12.75" customHeight="1" x14ac:dyDescent="0.2">
      <c r="A72" s="94" t="s">
        <v>5269</v>
      </c>
      <c r="B72" s="87" t="s">
        <v>44</v>
      </c>
      <c r="C72" s="87" t="s">
        <v>5270</v>
      </c>
      <c r="D72" s="89">
        <v>1600</v>
      </c>
      <c r="E72" s="88"/>
      <c r="F72" s="88"/>
      <c r="G72" s="87" t="str">
        <f t="shared" si="1"/>
        <v>113110103'= VIAGENS - ADIANTAMENTO00492815771</v>
      </c>
      <c r="H72" s="87" t="str">
        <f>VLOOKUP(Tabela1[[#This Row],[CONCATENAR]],'Classificações - Demonstrações'!$A$5:$C$46003,2,)</f>
        <v>Outros Créditos</v>
      </c>
      <c r="I72" s="87"/>
    </row>
    <row r="73" spans="1:9" ht="12.75" customHeight="1" x14ac:dyDescent="0.2">
      <c r="A73" s="94" t="s">
        <v>5269</v>
      </c>
      <c r="B73" s="87" t="s">
        <v>44</v>
      </c>
      <c r="C73" s="87" t="s">
        <v>49</v>
      </c>
      <c r="D73" s="89">
        <v>5629.8</v>
      </c>
      <c r="E73" s="88"/>
      <c r="F73" s="88"/>
      <c r="G73" s="87" t="str">
        <f t="shared" si="1"/>
        <v>113110103'= VIAGENS - ADIANTAMENTO00950520705</v>
      </c>
      <c r="H73" s="87" t="str">
        <f>VLOOKUP(Tabela1[[#This Row],[CONCATENAR]],'Classificações - Demonstrações'!$A$5:$C$46003,2,)</f>
        <v>Outros Créditos</v>
      </c>
      <c r="I73" s="87"/>
    </row>
    <row r="74" spans="1:9" ht="12.75" customHeight="1" x14ac:dyDescent="0.2">
      <c r="A74" s="94" t="s">
        <v>5269</v>
      </c>
      <c r="B74" s="87" t="s">
        <v>44</v>
      </c>
      <c r="C74" s="87" t="s">
        <v>5988</v>
      </c>
      <c r="D74" s="89">
        <v>600</v>
      </c>
      <c r="E74" s="88"/>
      <c r="F74" s="88"/>
      <c r="G74" s="87" t="str">
        <f t="shared" si="1"/>
        <v>113110103'= VIAGENS - ADIANTAMENTO01218820713</v>
      </c>
      <c r="H74" s="87" t="str">
        <f>VLOOKUP(Tabela1[[#This Row],[CONCATENAR]],'Classificações - Demonstrações'!$A$5:$C$46003,2,)</f>
        <v>Outros Créditos</v>
      </c>
      <c r="I74" s="87"/>
    </row>
    <row r="75" spans="1:9" ht="12.75" customHeight="1" x14ac:dyDescent="0.2">
      <c r="A75" s="94" t="s">
        <v>5269</v>
      </c>
      <c r="B75" s="87" t="s">
        <v>44</v>
      </c>
      <c r="C75" s="87" t="s">
        <v>50</v>
      </c>
      <c r="D75" s="89">
        <v>36840</v>
      </c>
      <c r="E75" s="88"/>
      <c r="F75" s="88"/>
      <c r="G75" s="87" t="str">
        <f t="shared" si="1"/>
        <v>113110103'= VIAGENS - ADIANTAMENTO01403752524</v>
      </c>
      <c r="H75" s="87" t="str">
        <f>VLOOKUP(Tabela1[[#This Row],[CONCATENAR]],'Classificações - Demonstrações'!$A$5:$C$46003,2,)</f>
        <v>Outros Créditos</v>
      </c>
      <c r="I75" s="87"/>
    </row>
    <row r="76" spans="1:9" ht="12.75" customHeight="1" x14ac:dyDescent="0.2">
      <c r="A76" s="94" t="s">
        <v>5269</v>
      </c>
      <c r="B76" s="87" t="s">
        <v>44</v>
      </c>
      <c r="C76" s="87" t="s">
        <v>51</v>
      </c>
      <c r="D76" s="89">
        <v>29799.5</v>
      </c>
      <c r="E76" s="88"/>
      <c r="F76" s="88"/>
      <c r="G76" s="87" t="str">
        <f t="shared" si="1"/>
        <v>113110103'= VIAGENS - ADIANTAMENTO01406066702</v>
      </c>
      <c r="H76" s="87" t="str">
        <f>VLOOKUP(Tabela1[[#This Row],[CONCATENAR]],'Classificações - Demonstrações'!$A$5:$C$46003,2,)</f>
        <v>Outros Créditos</v>
      </c>
      <c r="I76" s="87"/>
    </row>
    <row r="77" spans="1:9" ht="12.75" customHeight="1" x14ac:dyDescent="0.2">
      <c r="A77" s="94" t="s">
        <v>5269</v>
      </c>
      <c r="B77" s="87" t="s">
        <v>44</v>
      </c>
      <c r="C77" s="87" t="s">
        <v>52</v>
      </c>
      <c r="D77" s="88">
        <v>1448</v>
      </c>
      <c r="E77" s="89"/>
      <c r="F77" s="89"/>
      <c r="G77" s="87" t="str">
        <f t="shared" si="1"/>
        <v>113110103'= VIAGENS - ADIANTAMENTO01414462778</v>
      </c>
      <c r="H77" s="87" t="str">
        <f>VLOOKUP(Tabela1[[#This Row],[CONCATENAR]],'Classificações - Demonstrações'!$A$5:$C$46003,2,)</f>
        <v>Outros Créditos</v>
      </c>
      <c r="I77" s="87"/>
    </row>
    <row r="78" spans="1:9" ht="12.75" customHeight="1" x14ac:dyDescent="0.2">
      <c r="A78" s="94" t="s">
        <v>5269</v>
      </c>
      <c r="B78" s="87" t="s">
        <v>44</v>
      </c>
      <c r="C78" s="87" t="s">
        <v>53</v>
      </c>
      <c r="D78" s="88">
        <v>42506</v>
      </c>
      <c r="E78" s="89"/>
      <c r="F78" s="89"/>
      <c r="G78" s="87" t="str">
        <f t="shared" si="1"/>
        <v>113110103'= VIAGENS - ADIANTAMENTO01455185744</v>
      </c>
      <c r="H78" s="87" t="str">
        <f>VLOOKUP(Tabela1[[#This Row],[CONCATENAR]],'Classificações - Demonstrações'!$A$5:$C$46003,2,)</f>
        <v>Outros Créditos</v>
      </c>
      <c r="I78" s="87"/>
    </row>
    <row r="79" spans="1:9" ht="12.75" customHeight="1" x14ac:dyDescent="0.2">
      <c r="A79" s="94" t="s">
        <v>5269</v>
      </c>
      <c r="B79" s="87" t="s">
        <v>44</v>
      </c>
      <c r="C79" s="87" t="s">
        <v>5550</v>
      </c>
      <c r="D79" s="88">
        <v>32800</v>
      </c>
      <c r="E79" s="89"/>
      <c r="F79" s="89"/>
      <c r="G79" s="87" t="str">
        <f t="shared" si="1"/>
        <v>113110103'= VIAGENS - ADIANTAMENTO01462772790</v>
      </c>
      <c r="H79" s="87" t="str">
        <f>VLOOKUP(Tabela1[[#This Row],[CONCATENAR]],'Classificações - Demonstrações'!$A$5:$C$46003,2,)</f>
        <v>Outros Créditos</v>
      </c>
      <c r="I79" s="87"/>
    </row>
    <row r="80" spans="1:9" ht="12.75" customHeight="1" x14ac:dyDescent="0.2">
      <c r="A80" s="94" t="s">
        <v>5269</v>
      </c>
      <c r="B80" s="87" t="s">
        <v>44</v>
      </c>
      <c r="C80" s="87" t="s">
        <v>54</v>
      </c>
      <c r="D80" s="88">
        <v>10288</v>
      </c>
      <c r="E80" s="89"/>
      <c r="F80" s="89"/>
      <c r="G80" s="87" t="str">
        <f t="shared" si="1"/>
        <v>113110103'= VIAGENS - ADIANTAMENTO01617762725</v>
      </c>
      <c r="H80" s="87" t="str">
        <f>VLOOKUP(Tabela1[[#This Row],[CONCATENAR]],'Classificações - Demonstrações'!$A$5:$C$46003,2,)</f>
        <v>Outros Créditos</v>
      </c>
      <c r="I80" s="87"/>
    </row>
    <row r="81" spans="1:9" ht="12.75" customHeight="1" x14ac:dyDescent="0.2">
      <c r="A81" s="94" t="s">
        <v>5269</v>
      </c>
      <c r="B81" s="87" t="s">
        <v>44</v>
      </c>
      <c r="C81" s="87" t="s">
        <v>55</v>
      </c>
      <c r="D81" s="88">
        <v>38432.5</v>
      </c>
      <c r="E81" s="89"/>
      <c r="F81" s="89"/>
      <c r="G81" s="87" t="str">
        <f t="shared" si="1"/>
        <v>113110103'= VIAGENS - ADIANTAMENTO01652326766</v>
      </c>
      <c r="H81" s="87" t="str">
        <f>VLOOKUP(Tabela1[[#This Row],[CONCATENAR]],'Classificações - Demonstrações'!$A$5:$C$46003,2,)</f>
        <v>Outros Créditos</v>
      </c>
      <c r="I81" s="87"/>
    </row>
    <row r="82" spans="1:9" ht="12.75" customHeight="1" x14ac:dyDescent="0.2">
      <c r="A82" s="94" t="s">
        <v>5269</v>
      </c>
      <c r="B82" s="87" t="s">
        <v>44</v>
      </c>
      <c r="C82" s="87" t="s">
        <v>56</v>
      </c>
      <c r="D82" s="89">
        <v>35855</v>
      </c>
      <c r="E82" s="88"/>
      <c r="F82" s="88"/>
      <c r="G82" s="87" t="str">
        <f t="shared" si="1"/>
        <v>113110103'= VIAGENS - ADIANTAMENTO01851133704</v>
      </c>
      <c r="H82" s="87" t="str">
        <f>VLOOKUP(Tabela1[[#This Row],[CONCATENAR]],'Classificações - Demonstrações'!$A$5:$C$46003,2,)</f>
        <v>Outros Créditos</v>
      </c>
      <c r="I82" s="87"/>
    </row>
    <row r="83" spans="1:9" ht="12.75" customHeight="1" x14ac:dyDescent="0.2">
      <c r="A83" s="94" t="s">
        <v>5269</v>
      </c>
      <c r="B83" s="87" t="s">
        <v>44</v>
      </c>
      <c r="C83" s="87" t="s">
        <v>57</v>
      </c>
      <c r="D83" s="89">
        <v>1448</v>
      </c>
      <c r="E83" s="88"/>
      <c r="F83" s="88"/>
      <c r="G83" s="87" t="str">
        <f t="shared" si="1"/>
        <v>113110103'= VIAGENS - ADIANTAMENTO01947411764</v>
      </c>
      <c r="H83" s="87" t="str">
        <f>VLOOKUP(Tabela1[[#This Row],[CONCATENAR]],'Classificações - Demonstrações'!$A$5:$C$46003,2,)</f>
        <v>Outros Créditos</v>
      </c>
      <c r="I83" s="87"/>
    </row>
    <row r="84" spans="1:9" ht="12.75" customHeight="1" x14ac:dyDescent="0.2">
      <c r="A84" s="94" t="s">
        <v>5269</v>
      </c>
      <c r="B84" s="87" t="s">
        <v>44</v>
      </c>
      <c r="C84" s="87" t="s">
        <v>58</v>
      </c>
      <c r="D84" s="89">
        <v>18090</v>
      </c>
      <c r="E84" s="88"/>
      <c r="F84" s="88"/>
      <c r="G84" s="87" t="str">
        <f t="shared" si="1"/>
        <v>113110103'= VIAGENS - ADIANTAMENTO02051085714</v>
      </c>
      <c r="H84" s="87" t="str">
        <f>VLOOKUP(Tabela1[[#This Row],[CONCATENAR]],'Classificações - Demonstrações'!$A$5:$C$46003,2,)</f>
        <v>Outros Créditos</v>
      </c>
      <c r="I84" s="87"/>
    </row>
    <row r="85" spans="1:9" ht="12.75" customHeight="1" x14ac:dyDescent="0.2">
      <c r="A85" s="94" t="s">
        <v>5269</v>
      </c>
      <c r="B85" s="87" t="s">
        <v>44</v>
      </c>
      <c r="C85" s="87" t="s">
        <v>59</v>
      </c>
      <c r="D85" s="89">
        <v>16861</v>
      </c>
      <c r="E85" s="88"/>
      <c r="F85" s="88"/>
      <c r="G85" s="87" t="str">
        <f t="shared" si="1"/>
        <v>113110103'= VIAGENS - ADIANTAMENTO02065435739</v>
      </c>
      <c r="H85" s="87" t="str">
        <f>VLOOKUP(Tabela1[[#This Row],[CONCATENAR]],'Classificações - Demonstrações'!$A$5:$C$46003,2,)</f>
        <v>Outros Créditos</v>
      </c>
      <c r="I85" s="87"/>
    </row>
    <row r="86" spans="1:9" ht="12.75" customHeight="1" x14ac:dyDescent="0.2">
      <c r="A86" s="94" t="s">
        <v>5269</v>
      </c>
      <c r="B86" s="87" t="s">
        <v>44</v>
      </c>
      <c r="C86" s="87" t="s">
        <v>60</v>
      </c>
      <c r="D86" s="89">
        <v>12223</v>
      </c>
      <c r="E86" s="88"/>
      <c r="F86" s="88"/>
      <c r="G86" s="87" t="str">
        <f t="shared" si="1"/>
        <v>113110103'= VIAGENS - ADIANTAMENTO02132647739</v>
      </c>
      <c r="H86" s="87" t="str">
        <f>VLOOKUP(Tabela1[[#This Row],[CONCATENAR]],'Classificações - Demonstrações'!$A$5:$C$46003,2,)</f>
        <v>Outros Créditos</v>
      </c>
      <c r="I86" s="87"/>
    </row>
    <row r="87" spans="1:9" ht="12.75" customHeight="1" x14ac:dyDescent="0.2">
      <c r="A87" s="94" t="s">
        <v>5269</v>
      </c>
      <c r="B87" s="87" t="s">
        <v>44</v>
      </c>
      <c r="C87" s="87" t="s">
        <v>61</v>
      </c>
      <c r="D87" s="88">
        <v>31827</v>
      </c>
      <c r="E87" s="89"/>
      <c r="F87" s="89"/>
      <c r="G87" s="87" t="str">
        <f t="shared" si="1"/>
        <v>113110103'= VIAGENS - ADIANTAMENTO02155157738</v>
      </c>
      <c r="H87" s="87" t="str">
        <f>VLOOKUP(Tabela1[[#This Row],[CONCATENAR]],'Classificações - Demonstrações'!$A$5:$C$46003,2,)</f>
        <v>Outros Créditos</v>
      </c>
      <c r="I87" s="87"/>
    </row>
    <row r="88" spans="1:9" ht="12.75" customHeight="1" x14ac:dyDescent="0.2">
      <c r="A88" s="94" t="s">
        <v>5269</v>
      </c>
      <c r="B88" s="87" t="s">
        <v>44</v>
      </c>
      <c r="C88" s="87" t="s">
        <v>62</v>
      </c>
      <c r="D88" s="88">
        <v>10096</v>
      </c>
      <c r="E88" s="89"/>
      <c r="F88" s="89"/>
      <c r="G88" s="87" t="str">
        <f t="shared" si="1"/>
        <v>113110103'= VIAGENS - ADIANTAMENTO02170461779</v>
      </c>
      <c r="H88" s="87" t="str">
        <f>VLOOKUP(Tabela1[[#This Row],[CONCATENAR]],'Classificações - Demonstrações'!$A$5:$C$46003,2,)</f>
        <v>Outros Créditos</v>
      </c>
      <c r="I88" s="87"/>
    </row>
    <row r="89" spans="1:9" ht="12.75" customHeight="1" x14ac:dyDescent="0.2">
      <c r="A89" s="94" t="s">
        <v>5269</v>
      </c>
      <c r="B89" s="87" t="s">
        <v>44</v>
      </c>
      <c r="C89" s="87" t="s">
        <v>63</v>
      </c>
      <c r="D89" s="88">
        <v>1439</v>
      </c>
      <c r="E89" s="89"/>
      <c r="F89" s="89"/>
      <c r="G89" s="87" t="str">
        <f t="shared" si="1"/>
        <v>113110103'= VIAGENS - ADIANTAMENTO02314099745</v>
      </c>
      <c r="H89" s="87" t="str">
        <f>VLOOKUP(Tabela1[[#This Row],[CONCATENAR]],'Classificações - Demonstrações'!$A$5:$C$46003,2,)</f>
        <v>Outros Créditos</v>
      </c>
      <c r="I89" s="87"/>
    </row>
    <row r="90" spans="1:9" ht="12.75" customHeight="1" x14ac:dyDescent="0.2">
      <c r="A90" s="94" t="s">
        <v>5269</v>
      </c>
      <c r="B90" s="87" t="s">
        <v>44</v>
      </c>
      <c r="C90" s="87" t="s">
        <v>5657</v>
      </c>
      <c r="D90" s="88">
        <v>22714.5</v>
      </c>
      <c r="E90" s="89"/>
      <c r="F90" s="89"/>
      <c r="G90" s="87" t="str">
        <f t="shared" si="1"/>
        <v>113110103'= VIAGENS - ADIANTAMENTO02483382770</v>
      </c>
      <c r="H90" s="87" t="str">
        <f>VLOOKUP(Tabela1[[#This Row],[CONCATENAR]],'Classificações - Demonstrações'!$A$5:$C$46003,2,)</f>
        <v>Outros Créditos</v>
      </c>
      <c r="I90" s="87"/>
    </row>
    <row r="91" spans="1:9" ht="12.75" customHeight="1" x14ac:dyDescent="0.2">
      <c r="A91" s="94" t="s">
        <v>5269</v>
      </c>
      <c r="B91" s="87" t="s">
        <v>44</v>
      </c>
      <c r="C91" s="87" t="s">
        <v>64</v>
      </c>
      <c r="D91" s="88">
        <v>22926</v>
      </c>
      <c r="E91" s="89"/>
      <c r="F91" s="89"/>
      <c r="G91" s="87" t="str">
        <f t="shared" si="1"/>
        <v>113110103'= VIAGENS - ADIANTAMENTO02505136769</v>
      </c>
      <c r="H91" s="87" t="str">
        <f>VLOOKUP(Tabela1[[#This Row],[CONCATENAR]],'Classificações - Demonstrações'!$A$5:$C$46003,2,)</f>
        <v>Outros Créditos</v>
      </c>
      <c r="I91" s="87"/>
    </row>
    <row r="92" spans="1:9" ht="12.75" customHeight="1" x14ac:dyDescent="0.2">
      <c r="A92" s="94" t="s">
        <v>5269</v>
      </c>
      <c r="B92" s="87" t="s">
        <v>44</v>
      </c>
      <c r="C92" s="87" t="s">
        <v>65</v>
      </c>
      <c r="D92" s="89">
        <v>1448</v>
      </c>
      <c r="E92" s="88"/>
      <c r="F92" s="88"/>
      <c r="G92" s="87" t="str">
        <f t="shared" si="1"/>
        <v>113110103'= VIAGENS - ADIANTAMENTO02529663769</v>
      </c>
      <c r="H92" s="87" t="str">
        <f>VLOOKUP(Tabela1[[#This Row],[CONCATENAR]],'Classificações - Demonstrações'!$A$5:$C$46003,2,)</f>
        <v>Outros Créditos</v>
      </c>
      <c r="I92" s="87"/>
    </row>
    <row r="93" spans="1:9" ht="12.75" customHeight="1" x14ac:dyDescent="0.2">
      <c r="A93" s="94" t="s">
        <v>5269</v>
      </c>
      <c r="B93" s="87" t="s">
        <v>44</v>
      </c>
      <c r="C93" s="87" t="s">
        <v>66</v>
      </c>
      <c r="D93" s="89">
        <v>750</v>
      </c>
      <c r="E93" s="88"/>
      <c r="F93" s="88"/>
      <c r="G93" s="87" t="str">
        <f t="shared" si="1"/>
        <v>113110103'= VIAGENS - ADIANTAMENTO02539202721</v>
      </c>
      <c r="H93" s="87" t="str">
        <f>VLOOKUP(Tabela1[[#This Row],[CONCATENAR]],'Classificações - Demonstrações'!$A$5:$C$46003,2,)</f>
        <v>Outros Créditos</v>
      </c>
      <c r="I93" s="87"/>
    </row>
    <row r="94" spans="1:9" ht="12.75" customHeight="1" x14ac:dyDescent="0.2">
      <c r="A94" s="94" t="s">
        <v>5269</v>
      </c>
      <c r="B94" s="87" t="s">
        <v>44</v>
      </c>
      <c r="C94" s="87" t="s">
        <v>67</v>
      </c>
      <c r="D94" s="89">
        <v>437</v>
      </c>
      <c r="E94" s="88"/>
      <c r="F94" s="88"/>
      <c r="G94" s="87" t="str">
        <f t="shared" si="1"/>
        <v>113110103'= VIAGENS - ADIANTAMENTO02585313719</v>
      </c>
      <c r="H94" s="87" t="str">
        <f>VLOOKUP(Tabela1[[#This Row],[CONCATENAR]],'Classificações - Demonstrações'!$A$5:$C$46003,2,)</f>
        <v>Outros Créditos</v>
      </c>
      <c r="I94" s="87"/>
    </row>
    <row r="95" spans="1:9" ht="12.75" customHeight="1" x14ac:dyDescent="0.2">
      <c r="A95" s="94" t="s">
        <v>5269</v>
      </c>
      <c r="B95" s="87" t="s">
        <v>44</v>
      </c>
      <c r="C95" s="87" t="s">
        <v>5989</v>
      </c>
      <c r="D95" s="89">
        <v>448</v>
      </c>
      <c r="E95" s="88"/>
      <c r="F95" s="88"/>
      <c r="G95" s="87" t="str">
        <f t="shared" si="1"/>
        <v>113110103'= VIAGENS - ADIANTAMENTO02824380764</v>
      </c>
      <c r="H95" s="87" t="str">
        <f>VLOOKUP(Tabela1[[#This Row],[CONCATENAR]],'Classificações - Demonstrações'!$A$5:$C$46003,2,)</f>
        <v>Outros Créditos</v>
      </c>
      <c r="I95" s="87"/>
    </row>
    <row r="96" spans="1:9" ht="12.75" customHeight="1" x14ac:dyDescent="0.2">
      <c r="A96" s="94" t="s">
        <v>5269</v>
      </c>
      <c r="B96" s="87" t="s">
        <v>44</v>
      </c>
      <c r="C96" s="87" t="s">
        <v>68</v>
      </c>
      <c r="D96" s="89">
        <v>8354.5</v>
      </c>
      <c r="E96" s="88"/>
      <c r="F96" s="88"/>
      <c r="G96" s="87" t="str">
        <f t="shared" si="1"/>
        <v>113110103'= VIAGENS - ADIANTAMENTO03018866797</v>
      </c>
      <c r="H96" s="87" t="str">
        <f>VLOOKUP(Tabela1[[#This Row],[CONCATENAR]],'Classificações - Demonstrações'!$A$5:$C$46003,2,)</f>
        <v>Outros Créditos</v>
      </c>
      <c r="I96" s="87"/>
    </row>
    <row r="97" spans="1:9" ht="12.75" customHeight="1" x14ac:dyDescent="0.2">
      <c r="A97" s="94" t="s">
        <v>5269</v>
      </c>
      <c r="B97" s="87" t="s">
        <v>44</v>
      </c>
      <c r="C97" s="87" t="s">
        <v>69</v>
      </c>
      <c r="D97" s="89">
        <v>43411.5</v>
      </c>
      <c r="E97" s="89"/>
      <c r="F97" s="89"/>
      <c r="G97" s="87" t="str">
        <f t="shared" si="1"/>
        <v>113110103'= VIAGENS - ADIANTAMENTO03248614781</v>
      </c>
      <c r="H97" s="87" t="str">
        <f>VLOOKUP(Tabela1[[#This Row],[CONCATENAR]],'Classificações - Demonstrações'!$A$5:$C$46003,2,)</f>
        <v>Outros Créditos</v>
      </c>
      <c r="I97" s="87"/>
    </row>
    <row r="98" spans="1:9" ht="12.75" customHeight="1" x14ac:dyDescent="0.2">
      <c r="A98" s="94" t="s">
        <v>5269</v>
      </c>
      <c r="B98" s="87" t="s">
        <v>44</v>
      </c>
      <c r="C98" s="87" t="s">
        <v>70</v>
      </c>
      <c r="D98" s="89">
        <v>36396.519999999997</v>
      </c>
      <c r="E98" s="89"/>
      <c r="F98" s="89"/>
      <c r="G98" s="87" t="str">
        <f t="shared" si="1"/>
        <v>113110103'= VIAGENS - ADIANTAMENTO03318464708</v>
      </c>
      <c r="H98" s="87" t="str">
        <f>VLOOKUP(Tabela1[[#This Row],[CONCATENAR]],'Classificações - Demonstrações'!$A$5:$C$46003,2,)</f>
        <v>Outros Créditos</v>
      </c>
      <c r="I98" s="87"/>
    </row>
    <row r="99" spans="1:9" ht="12.75" customHeight="1" x14ac:dyDescent="0.2">
      <c r="A99" s="94" t="s">
        <v>5269</v>
      </c>
      <c r="B99" s="87" t="s">
        <v>44</v>
      </c>
      <c r="C99" s="87" t="s">
        <v>4531</v>
      </c>
      <c r="D99" s="89">
        <v>16789.5</v>
      </c>
      <c r="E99" s="89"/>
      <c r="F99" s="89"/>
      <c r="G99" s="87" t="str">
        <f t="shared" si="1"/>
        <v>113110103'= VIAGENS - ADIANTAMENTO03344768794</v>
      </c>
      <c r="H99" s="87" t="str">
        <f>VLOOKUP(Tabela1[[#This Row],[CONCATENAR]],'Classificações - Demonstrações'!$A$5:$C$46003,2,)</f>
        <v>Outros Créditos</v>
      </c>
      <c r="I99" s="87"/>
    </row>
    <row r="100" spans="1:9" ht="12.75" customHeight="1" x14ac:dyDescent="0.2">
      <c r="A100" s="94" t="s">
        <v>5269</v>
      </c>
      <c r="B100" s="87" t="s">
        <v>44</v>
      </c>
      <c r="C100" s="87" t="s">
        <v>71</v>
      </c>
      <c r="D100" s="89">
        <v>1448</v>
      </c>
      <c r="E100" s="89"/>
      <c r="F100" s="89"/>
      <c r="G100" s="87" t="str">
        <f t="shared" si="1"/>
        <v>113110103'= VIAGENS - ADIANTAMENTO03408946795</v>
      </c>
      <c r="H100" s="87" t="str">
        <f>VLOOKUP(Tabela1[[#This Row],[CONCATENAR]],'Classificações - Demonstrações'!$A$5:$C$46003,2,)</f>
        <v>Outros Créditos</v>
      </c>
      <c r="I100" s="87"/>
    </row>
    <row r="101" spans="1:9" ht="12.75" customHeight="1" x14ac:dyDescent="0.2">
      <c r="A101" s="94" t="s">
        <v>5269</v>
      </c>
      <c r="B101" s="87" t="s">
        <v>44</v>
      </c>
      <c r="C101" s="87" t="s">
        <v>72</v>
      </c>
      <c r="D101" s="88">
        <v>1250</v>
      </c>
      <c r="E101" s="89"/>
      <c r="F101" s="89"/>
      <c r="G101" s="87" t="str">
        <f t="shared" si="1"/>
        <v>113110103'= VIAGENS - ADIANTAMENTO03434794786</v>
      </c>
      <c r="H101" s="87" t="str">
        <f>VLOOKUP(Tabela1[[#This Row],[CONCATENAR]],'Classificações - Demonstrações'!$A$5:$C$46003,2,)</f>
        <v>Outros Créditos</v>
      </c>
      <c r="I101" s="87"/>
    </row>
    <row r="102" spans="1:9" ht="12.75" customHeight="1" x14ac:dyDescent="0.2">
      <c r="A102" s="94" t="s">
        <v>5269</v>
      </c>
      <c r="B102" s="87" t="s">
        <v>44</v>
      </c>
      <c r="C102" s="87" t="s">
        <v>73</v>
      </c>
      <c r="D102" s="88">
        <v>3004</v>
      </c>
      <c r="E102" s="89"/>
      <c r="F102" s="89"/>
      <c r="G102" s="87" t="str">
        <f t="shared" si="1"/>
        <v>113110103'= VIAGENS - ADIANTAMENTO03470602182</v>
      </c>
      <c r="H102" s="87" t="str">
        <f>VLOOKUP(Tabela1[[#This Row],[CONCATENAR]],'Classificações - Demonstrações'!$A$5:$C$46003,2,)</f>
        <v>Outros Créditos</v>
      </c>
      <c r="I102" s="87"/>
    </row>
    <row r="103" spans="1:9" ht="12.75" customHeight="1" x14ac:dyDescent="0.2">
      <c r="A103" s="94" t="s">
        <v>5269</v>
      </c>
      <c r="B103" s="87" t="s">
        <v>44</v>
      </c>
      <c r="C103" s="87" t="s">
        <v>74</v>
      </c>
      <c r="D103" s="88">
        <v>45275.5</v>
      </c>
      <c r="E103" s="89"/>
      <c r="F103" s="89"/>
      <c r="G103" s="87" t="str">
        <f t="shared" si="1"/>
        <v>113110103'= VIAGENS - ADIANTAMENTO03595051718</v>
      </c>
      <c r="H103" s="87" t="str">
        <f>VLOOKUP(Tabela1[[#This Row],[CONCATENAR]],'Classificações - Demonstrações'!$A$5:$C$46003,2,)</f>
        <v>Outros Créditos</v>
      </c>
      <c r="I103" s="87"/>
    </row>
    <row r="104" spans="1:9" ht="12.75" customHeight="1" x14ac:dyDescent="0.2">
      <c r="A104" s="94" t="s">
        <v>5269</v>
      </c>
      <c r="B104" s="87" t="s">
        <v>44</v>
      </c>
      <c r="C104" s="87" t="s">
        <v>75</v>
      </c>
      <c r="D104" s="89">
        <v>20992</v>
      </c>
      <c r="E104" s="89"/>
      <c r="F104" s="89"/>
      <c r="G104" s="87" t="str">
        <f t="shared" si="1"/>
        <v>113110103'= VIAGENS - ADIANTAMENTO03870112778</v>
      </c>
      <c r="H104" s="87" t="str">
        <f>VLOOKUP(Tabela1[[#This Row],[CONCATENAR]],'Classificações - Demonstrações'!$A$5:$C$46003,2,)</f>
        <v>Outros Créditos</v>
      </c>
      <c r="I104" s="87"/>
    </row>
    <row r="105" spans="1:9" ht="12.75" customHeight="1" x14ac:dyDescent="0.2">
      <c r="A105" s="94" t="s">
        <v>5269</v>
      </c>
      <c r="B105" s="87" t="s">
        <v>44</v>
      </c>
      <c r="C105" s="87" t="s">
        <v>76</v>
      </c>
      <c r="D105" s="89">
        <v>16255.5</v>
      </c>
      <c r="E105" s="88"/>
      <c r="F105" s="88"/>
      <c r="G105" s="87" t="str">
        <f t="shared" si="1"/>
        <v>113110103'= VIAGENS - ADIANTAMENTO04150881782</v>
      </c>
      <c r="H105" s="87" t="str">
        <f>VLOOKUP(Tabela1[[#This Row],[CONCATENAR]],'Classificações - Demonstrações'!$A$5:$C$46003,2,)</f>
        <v>Outros Créditos</v>
      </c>
      <c r="I105" s="87"/>
    </row>
    <row r="106" spans="1:9" ht="12.75" customHeight="1" x14ac:dyDescent="0.2">
      <c r="A106" s="94" t="s">
        <v>5269</v>
      </c>
      <c r="B106" s="87" t="s">
        <v>44</v>
      </c>
      <c r="C106" s="87" t="s">
        <v>77</v>
      </c>
      <c r="D106" s="88">
        <v>27387.96</v>
      </c>
      <c r="E106" s="89"/>
      <c r="F106" s="89"/>
      <c r="G106" s="87" t="str">
        <f t="shared" si="1"/>
        <v>113110103'= VIAGENS - ADIANTAMENTO04243088780</v>
      </c>
      <c r="H106" s="87" t="str">
        <f>VLOOKUP(Tabela1[[#This Row],[CONCATENAR]],'Classificações - Demonstrações'!$A$5:$C$46003,2,)</f>
        <v>Outros Créditos</v>
      </c>
      <c r="I106" s="87"/>
    </row>
    <row r="107" spans="1:9" ht="12.75" customHeight="1" x14ac:dyDescent="0.2">
      <c r="A107" s="94" t="s">
        <v>5269</v>
      </c>
      <c r="B107" s="87" t="s">
        <v>44</v>
      </c>
      <c r="C107" s="87" t="s">
        <v>4745</v>
      </c>
      <c r="D107" s="89">
        <v>0</v>
      </c>
      <c r="E107" s="89"/>
      <c r="F107" s="89"/>
      <c r="G107" s="87" t="str">
        <f t="shared" si="1"/>
        <v>113110103'= VIAGENS - ADIANTAMENTO04249300722</v>
      </c>
      <c r="H107" s="87" t="str">
        <f>VLOOKUP(Tabela1[[#This Row],[CONCATENAR]],'Classificações - Demonstrações'!$A$5:$C$46003,2,)</f>
        <v>Outros Créditos</v>
      </c>
      <c r="I107" s="87"/>
    </row>
    <row r="108" spans="1:9" ht="12.75" customHeight="1" x14ac:dyDescent="0.2">
      <c r="A108" s="94" t="s">
        <v>5269</v>
      </c>
      <c r="B108" s="87" t="s">
        <v>44</v>
      </c>
      <c r="C108" s="87" t="s">
        <v>78</v>
      </c>
      <c r="D108" s="89">
        <v>1576</v>
      </c>
      <c r="E108" s="89"/>
      <c r="F108" s="89"/>
      <c r="G108" s="87" t="str">
        <f t="shared" si="1"/>
        <v>113110103'= VIAGENS - ADIANTAMENTO04411522799</v>
      </c>
      <c r="H108" s="87" t="str">
        <f>VLOOKUP(Tabela1[[#This Row],[CONCATENAR]],'Classificações - Demonstrações'!$A$5:$C$46003,2,)</f>
        <v>Outros Créditos</v>
      </c>
      <c r="I108" s="87"/>
    </row>
    <row r="109" spans="1:9" ht="12.75" customHeight="1" x14ac:dyDescent="0.2">
      <c r="A109" s="94" t="s">
        <v>5269</v>
      </c>
      <c r="B109" s="87" t="s">
        <v>44</v>
      </c>
      <c r="C109" s="87" t="s">
        <v>79</v>
      </c>
      <c r="D109" s="89">
        <v>2548</v>
      </c>
      <c r="E109" s="88"/>
      <c r="F109" s="88"/>
      <c r="G109" s="87" t="str">
        <f t="shared" si="1"/>
        <v>113110103'= VIAGENS - ADIANTAMENTO04412254704</v>
      </c>
      <c r="H109" s="87" t="str">
        <f>VLOOKUP(Tabela1[[#This Row],[CONCATENAR]],'Classificações - Demonstrações'!$A$5:$C$46003,2,)</f>
        <v>Outros Créditos</v>
      </c>
      <c r="I109" s="87"/>
    </row>
    <row r="110" spans="1:9" ht="12.75" customHeight="1" x14ac:dyDescent="0.2">
      <c r="A110" s="94" t="s">
        <v>5269</v>
      </c>
      <c r="B110" s="87" t="s">
        <v>44</v>
      </c>
      <c r="C110" s="87" t="s">
        <v>80</v>
      </c>
      <c r="D110" s="89">
        <v>11320</v>
      </c>
      <c r="E110" s="89"/>
      <c r="F110" s="89"/>
      <c r="G110" s="87" t="str">
        <f t="shared" si="1"/>
        <v>113110103'= VIAGENS - ADIANTAMENTO04416936796</v>
      </c>
      <c r="H110" s="87" t="str">
        <f>VLOOKUP(Tabela1[[#This Row],[CONCATENAR]],'Classificações - Demonstrações'!$A$5:$C$46003,2,)</f>
        <v>Outros Créditos</v>
      </c>
      <c r="I110" s="87"/>
    </row>
    <row r="111" spans="1:9" ht="12.75" customHeight="1" x14ac:dyDescent="0.2">
      <c r="A111" s="94" t="s">
        <v>5269</v>
      </c>
      <c r="B111" s="87" t="s">
        <v>44</v>
      </c>
      <c r="C111" s="87" t="s">
        <v>81</v>
      </c>
      <c r="D111" s="89">
        <v>4183</v>
      </c>
      <c r="E111" s="89"/>
      <c r="F111" s="89"/>
      <c r="G111" s="87" t="str">
        <f t="shared" si="1"/>
        <v>113110103'= VIAGENS - ADIANTAMENTO04467200541</v>
      </c>
      <c r="H111" s="87" t="str">
        <f>VLOOKUP(Tabela1[[#This Row],[CONCATENAR]],'Classificações - Demonstrações'!$A$5:$C$46003,2,)</f>
        <v>Outros Créditos</v>
      </c>
      <c r="I111" s="87"/>
    </row>
    <row r="112" spans="1:9" ht="12.75" customHeight="1" x14ac:dyDescent="0.2">
      <c r="A112" s="94" t="s">
        <v>5269</v>
      </c>
      <c r="B112" s="87" t="s">
        <v>44</v>
      </c>
      <c r="C112" s="87" t="s">
        <v>82</v>
      </c>
      <c r="D112" s="89">
        <v>5090</v>
      </c>
      <c r="E112" s="88"/>
      <c r="F112" s="88"/>
      <c r="G112" s="87" t="str">
        <f t="shared" si="1"/>
        <v>113110103'= VIAGENS - ADIANTAMENTO05151986767</v>
      </c>
      <c r="H112" s="87" t="str">
        <f>VLOOKUP(Tabela1[[#This Row],[CONCATENAR]],'Classificações - Demonstrações'!$A$5:$C$46003,2,)</f>
        <v>Outros Créditos</v>
      </c>
      <c r="I112" s="87"/>
    </row>
    <row r="113" spans="1:9" ht="12.75" customHeight="1" x14ac:dyDescent="0.2">
      <c r="A113" s="94" t="s">
        <v>5269</v>
      </c>
      <c r="B113" s="87" t="s">
        <v>44</v>
      </c>
      <c r="C113" s="87" t="s">
        <v>83</v>
      </c>
      <c r="D113" s="88">
        <v>856</v>
      </c>
      <c r="E113" s="89"/>
      <c r="F113" s="89"/>
      <c r="G113" s="87" t="str">
        <f t="shared" si="1"/>
        <v>113110103'= VIAGENS - ADIANTAMENTO05182550774</v>
      </c>
      <c r="H113" s="87" t="str">
        <f>VLOOKUP(Tabela1[[#This Row],[CONCATENAR]],'Classificações - Demonstrações'!$A$5:$C$46003,2,)</f>
        <v>Outros Créditos</v>
      </c>
      <c r="I113" s="87"/>
    </row>
    <row r="114" spans="1:9" ht="12.75" customHeight="1" x14ac:dyDescent="0.2">
      <c r="A114" s="94" t="s">
        <v>5269</v>
      </c>
      <c r="B114" s="87" t="s">
        <v>44</v>
      </c>
      <c r="C114" s="87" t="s">
        <v>5271</v>
      </c>
      <c r="D114" s="89">
        <v>1824</v>
      </c>
      <c r="E114" s="89"/>
      <c r="F114" s="89"/>
      <c r="G114" s="87" t="str">
        <f t="shared" si="1"/>
        <v>113110103'= VIAGENS - ADIANTAMENTO05240128731</v>
      </c>
      <c r="H114" s="87" t="str">
        <f>VLOOKUP(Tabela1[[#This Row],[CONCATENAR]],'Classificações - Demonstrações'!$A$5:$C$46003,2,)</f>
        <v>Outros Créditos</v>
      </c>
      <c r="I114" s="87"/>
    </row>
    <row r="115" spans="1:9" ht="12.75" customHeight="1" x14ac:dyDescent="0.2">
      <c r="A115" s="94" t="s">
        <v>5269</v>
      </c>
      <c r="B115" s="87" t="s">
        <v>44</v>
      </c>
      <c r="C115" s="87" t="s">
        <v>5128</v>
      </c>
      <c r="D115" s="89">
        <v>4939</v>
      </c>
      <c r="E115" s="89"/>
      <c r="F115" s="89"/>
      <c r="G115" s="87" t="str">
        <f t="shared" si="1"/>
        <v>113110103'= VIAGENS - ADIANTAMENTO05280497711</v>
      </c>
      <c r="H115" s="87" t="str">
        <f>VLOOKUP(Tabela1[[#This Row],[CONCATENAR]],'Classificações - Demonstrações'!$A$5:$C$46003,2,)</f>
        <v>Outros Créditos</v>
      </c>
      <c r="I115" s="87"/>
    </row>
    <row r="116" spans="1:9" ht="12.75" customHeight="1" x14ac:dyDescent="0.2">
      <c r="A116" s="94" t="s">
        <v>5269</v>
      </c>
      <c r="B116" s="87" t="s">
        <v>44</v>
      </c>
      <c r="C116" s="87" t="s">
        <v>84</v>
      </c>
      <c r="D116" s="89">
        <v>39231.5</v>
      </c>
      <c r="E116" s="89"/>
      <c r="F116" s="89"/>
      <c r="G116" s="87" t="str">
        <f t="shared" si="1"/>
        <v>113110103'= VIAGENS - ADIANTAMENTO05282052776</v>
      </c>
      <c r="H116" s="87" t="str">
        <f>VLOOKUP(Tabela1[[#This Row],[CONCATENAR]],'Classificações - Demonstrações'!$A$5:$C$46003,2,)</f>
        <v>Outros Créditos</v>
      </c>
      <c r="I116" s="87"/>
    </row>
    <row r="117" spans="1:9" ht="12.75" customHeight="1" x14ac:dyDescent="0.2">
      <c r="A117" s="94" t="s">
        <v>5269</v>
      </c>
      <c r="B117" s="87" t="s">
        <v>44</v>
      </c>
      <c r="C117" s="87" t="s">
        <v>85</v>
      </c>
      <c r="D117" s="89">
        <v>31872.5</v>
      </c>
      <c r="E117" s="89"/>
      <c r="F117" s="89"/>
      <c r="G117" s="87" t="str">
        <f t="shared" si="1"/>
        <v>113110103'= VIAGENS - ADIANTAMENTO05314448726</v>
      </c>
      <c r="H117" s="87" t="str">
        <f>VLOOKUP(Tabela1[[#This Row],[CONCATENAR]],'Classificações - Demonstrações'!$A$5:$C$46003,2,)</f>
        <v>Outros Créditos</v>
      </c>
      <c r="I117" s="87"/>
    </row>
    <row r="118" spans="1:9" ht="12.75" customHeight="1" x14ac:dyDescent="0.2">
      <c r="A118" s="94" t="s">
        <v>5269</v>
      </c>
      <c r="B118" s="87" t="s">
        <v>44</v>
      </c>
      <c r="C118" s="87" t="s">
        <v>86</v>
      </c>
      <c r="D118" s="88">
        <v>2878</v>
      </c>
      <c r="E118" s="89"/>
      <c r="F118" s="89"/>
      <c r="G118" s="87" t="str">
        <f t="shared" si="1"/>
        <v>113110103'= VIAGENS - ADIANTAMENTO05320361742</v>
      </c>
      <c r="H118" s="87" t="str">
        <f>VLOOKUP(Tabela1[[#This Row],[CONCATENAR]],'Classificações - Demonstrações'!$A$5:$C$46003,2,)</f>
        <v>Outros Créditos</v>
      </c>
      <c r="I118" s="87"/>
    </row>
    <row r="119" spans="1:9" ht="12.75" customHeight="1" x14ac:dyDescent="0.2">
      <c r="A119" s="94" t="s">
        <v>5269</v>
      </c>
      <c r="B119" s="87" t="s">
        <v>44</v>
      </c>
      <c r="C119" s="87" t="s">
        <v>87</v>
      </c>
      <c r="D119" s="89">
        <v>5877</v>
      </c>
      <c r="E119" s="89"/>
      <c r="F119" s="89"/>
      <c r="G119" s="87" t="str">
        <f t="shared" si="1"/>
        <v>113110103'= VIAGENS - ADIANTAMENTO05320369646</v>
      </c>
      <c r="H119" s="87" t="str">
        <f>VLOOKUP(Tabela1[[#This Row],[CONCATENAR]],'Classificações - Demonstrações'!$A$5:$C$46003,2,)</f>
        <v>Outros Créditos</v>
      </c>
      <c r="I119" s="87"/>
    </row>
    <row r="120" spans="1:9" ht="12.75" customHeight="1" x14ac:dyDescent="0.2">
      <c r="A120" s="94" t="s">
        <v>5269</v>
      </c>
      <c r="B120" s="87" t="s">
        <v>44</v>
      </c>
      <c r="C120" s="87" t="s">
        <v>88</v>
      </c>
      <c r="D120" s="89">
        <v>26418</v>
      </c>
      <c r="E120" s="88"/>
      <c r="F120" s="88"/>
      <c r="G120" s="87" t="str">
        <f t="shared" si="1"/>
        <v>113110103'= VIAGENS - ADIANTAMENTO05341682645</v>
      </c>
      <c r="H120" s="87" t="str">
        <f>VLOOKUP(Tabela1[[#This Row],[CONCATENAR]],'Classificações - Demonstrações'!$A$5:$C$46003,2,)</f>
        <v>Outros Créditos</v>
      </c>
      <c r="I120" s="87"/>
    </row>
    <row r="121" spans="1:9" ht="12.75" customHeight="1" x14ac:dyDescent="0.2">
      <c r="A121" s="94" t="s">
        <v>5269</v>
      </c>
      <c r="B121" s="87" t="s">
        <v>44</v>
      </c>
      <c r="C121" s="87" t="s">
        <v>5990</v>
      </c>
      <c r="D121" s="89">
        <v>6472</v>
      </c>
      <c r="E121" s="89"/>
      <c r="F121" s="89"/>
      <c r="G121" s="87" t="str">
        <f t="shared" si="1"/>
        <v>113110103'= VIAGENS - ADIANTAMENTO05346092790</v>
      </c>
      <c r="H121" s="87" t="str">
        <f>VLOOKUP(Tabela1[[#This Row],[CONCATENAR]],'Classificações - Demonstrações'!$A$5:$C$46003,2,)</f>
        <v>Outros Créditos</v>
      </c>
      <c r="I121" s="87"/>
    </row>
    <row r="122" spans="1:9" ht="12.75" customHeight="1" x14ac:dyDescent="0.2">
      <c r="A122" s="94" t="s">
        <v>5269</v>
      </c>
      <c r="B122" s="87" t="s">
        <v>44</v>
      </c>
      <c r="C122" s="87" t="s">
        <v>89</v>
      </c>
      <c r="D122" s="89">
        <v>43859</v>
      </c>
      <c r="E122" s="88"/>
      <c r="F122" s="88"/>
      <c r="G122" s="87" t="str">
        <f t="shared" si="1"/>
        <v>113110103'= VIAGENS - ADIANTAMENTO05361046701</v>
      </c>
      <c r="H122" s="87" t="str">
        <f>VLOOKUP(Tabela1[[#This Row],[CONCATENAR]],'Classificações - Demonstrações'!$A$5:$C$46003,2,)</f>
        <v>Outros Créditos</v>
      </c>
      <c r="I122" s="87"/>
    </row>
    <row r="123" spans="1:9" ht="12.75" customHeight="1" x14ac:dyDescent="0.2">
      <c r="A123" s="94" t="s">
        <v>5269</v>
      </c>
      <c r="B123" s="87" t="s">
        <v>44</v>
      </c>
      <c r="C123" s="87" t="s">
        <v>90</v>
      </c>
      <c r="D123" s="89">
        <v>40872.5</v>
      </c>
      <c r="E123" s="89"/>
      <c r="F123" s="89"/>
      <c r="G123" s="87" t="str">
        <f t="shared" si="1"/>
        <v>113110103'= VIAGENS - ADIANTAMENTO05492202758</v>
      </c>
      <c r="H123" s="87" t="str">
        <f>VLOOKUP(Tabela1[[#This Row],[CONCATENAR]],'Classificações - Demonstrações'!$A$5:$C$46003,2,)</f>
        <v>Outros Créditos</v>
      </c>
      <c r="I123" s="87"/>
    </row>
    <row r="124" spans="1:9" ht="12.75" customHeight="1" x14ac:dyDescent="0.2">
      <c r="A124" s="94" t="s">
        <v>5269</v>
      </c>
      <c r="B124" s="87" t="s">
        <v>44</v>
      </c>
      <c r="C124" s="87" t="s">
        <v>91</v>
      </c>
      <c r="D124" s="89">
        <v>10763</v>
      </c>
      <c r="E124" s="89"/>
      <c r="F124" s="89"/>
      <c r="G124" s="87" t="str">
        <f t="shared" si="1"/>
        <v>113110103'= VIAGENS - ADIANTAMENTO05519024774</v>
      </c>
      <c r="H124" s="87" t="str">
        <f>VLOOKUP(Tabela1[[#This Row],[CONCATENAR]],'Classificações - Demonstrações'!$A$5:$C$46003,2,)</f>
        <v>Outros Créditos</v>
      </c>
      <c r="I124" s="87"/>
    </row>
    <row r="125" spans="1:9" ht="12.75" customHeight="1" x14ac:dyDescent="0.2">
      <c r="A125" s="94" t="s">
        <v>5269</v>
      </c>
      <c r="B125" s="87" t="s">
        <v>44</v>
      </c>
      <c r="C125" s="87" t="s">
        <v>92</v>
      </c>
      <c r="D125" s="89">
        <v>22600</v>
      </c>
      <c r="E125" s="89"/>
      <c r="F125" s="89"/>
      <c r="G125" s="87" t="str">
        <f t="shared" si="1"/>
        <v>113110103'= VIAGENS - ADIANTAMENTO05532915725</v>
      </c>
      <c r="H125" s="87" t="str">
        <f>VLOOKUP(Tabela1[[#This Row],[CONCATENAR]],'Classificações - Demonstrações'!$A$5:$C$46003,2,)</f>
        <v>Outros Créditos</v>
      </c>
      <c r="I125" s="87"/>
    </row>
    <row r="126" spans="1:9" ht="12.75" customHeight="1" x14ac:dyDescent="0.2">
      <c r="A126" s="94" t="s">
        <v>5269</v>
      </c>
      <c r="B126" s="87" t="s">
        <v>44</v>
      </c>
      <c r="C126" s="87" t="s">
        <v>93</v>
      </c>
      <c r="D126" s="89">
        <v>9133</v>
      </c>
      <c r="E126" s="89"/>
      <c r="F126" s="89"/>
      <c r="G126" s="87" t="str">
        <f t="shared" si="1"/>
        <v>113110103'= VIAGENS - ADIANTAMENTO05541957710</v>
      </c>
      <c r="H126" s="87" t="str">
        <f>VLOOKUP(Tabela1[[#This Row],[CONCATENAR]],'Classificações - Demonstrações'!$A$5:$C$46003,2,)</f>
        <v>Outros Créditos</v>
      </c>
      <c r="I126" s="87"/>
    </row>
    <row r="127" spans="1:9" ht="12.75" customHeight="1" x14ac:dyDescent="0.2">
      <c r="A127" s="94" t="s">
        <v>5269</v>
      </c>
      <c r="B127" s="87" t="s">
        <v>44</v>
      </c>
      <c r="C127" s="87" t="s">
        <v>5658</v>
      </c>
      <c r="D127" s="89">
        <v>62085.89</v>
      </c>
      <c r="E127" s="89"/>
      <c r="F127" s="89"/>
      <c r="G127" s="87" t="str">
        <f t="shared" si="1"/>
        <v>113110103'= VIAGENS - ADIANTAMENTO05542977790</v>
      </c>
      <c r="H127" s="87" t="str">
        <f>VLOOKUP(Tabela1[[#This Row],[CONCATENAR]],'Classificações - Demonstrações'!$A$5:$C$46003,2,)</f>
        <v>Outros Créditos</v>
      </c>
      <c r="I127" s="87"/>
    </row>
    <row r="128" spans="1:9" ht="12.75" customHeight="1" x14ac:dyDescent="0.2">
      <c r="A128" s="94" t="s">
        <v>5269</v>
      </c>
      <c r="B128" s="87" t="s">
        <v>44</v>
      </c>
      <c r="C128" s="87" t="s">
        <v>5129</v>
      </c>
      <c r="D128" s="89">
        <v>10565</v>
      </c>
      <c r="E128" s="89"/>
      <c r="F128" s="89"/>
      <c r="G128" s="87" t="str">
        <f t="shared" si="1"/>
        <v>113110103'= VIAGENS - ADIANTAMENTO05543697708</v>
      </c>
      <c r="H128" s="87" t="str">
        <f>VLOOKUP(Tabela1[[#This Row],[CONCATENAR]],'Classificações - Demonstrações'!$A$5:$C$46003,2,)</f>
        <v>Outros Créditos</v>
      </c>
      <c r="I128" s="87"/>
    </row>
    <row r="129" spans="1:9" ht="12.75" customHeight="1" x14ac:dyDescent="0.2">
      <c r="A129" s="94" t="s">
        <v>5269</v>
      </c>
      <c r="B129" s="87" t="s">
        <v>44</v>
      </c>
      <c r="C129" s="87" t="s">
        <v>94</v>
      </c>
      <c r="D129" s="89">
        <v>5760</v>
      </c>
      <c r="E129" s="89"/>
      <c r="F129" s="89"/>
      <c r="G129" s="87" t="str">
        <f t="shared" si="1"/>
        <v>113110103'= VIAGENS - ADIANTAMENTO05618288737</v>
      </c>
      <c r="H129" s="87" t="str">
        <f>VLOOKUP(Tabela1[[#This Row],[CONCATENAR]],'Classificações - Demonstrações'!$A$5:$C$46003,2,)</f>
        <v>Outros Créditos</v>
      </c>
      <c r="I129" s="87"/>
    </row>
    <row r="130" spans="1:9" ht="12.75" customHeight="1" x14ac:dyDescent="0.2">
      <c r="A130" s="94" t="s">
        <v>5269</v>
      </c>
      <c r="B130" s="87" t="s">
        <v>44</v>
      </c>
      <c r="C130" s="87" t="s">
        <v>95</v>
      </c>
      <c r="D130" s="89">
        <v>26564.5</v>
      </c>
      <c r="E130" s="89"/>
      <c r="F130" s="89"/>
      <c r="G130" s="87" t="str">
        <f t="shared" si="1"/>
        <v>113110103'= VIAGENS - ADIANTAMENTO05645709748</v>
      </c>
      <c r="H130" s="87" t="str">
        <f>VLOOKUP(Tabela1[[#This Row],[CONCATENAR]],'Classificações - Demonstrações'!$A$5:$C$46003,2,)</f>
        <v>Outros Créditos</v>
      </c>
      <c r="I130" s="87"/>
    </row>
    <row r="131" spans="1:9" ht="12.75" customHeight="1" x14ac:dyDescent="0.2">
      <c r="A131" s="94" t="s">
        <v>5269</v>
      </c>
      <c r="B131" s="87" t="s">
        <v>44</v>
      </c>
      <c r="C131" s="87" t="s">
        <v>96</v>
      </c>
      <c r="D131" s="89">
        <v>2960</v>
      </c>
      <c r="E131" s="88"/>
      <c r="F131" s="88"/>
      <c r="G131" s="87" t="str">
        <f t="shared" si="1"/>
        <v>113110103'= VIAGENS - ADIANTAMENTO05677782742</v>
      </c>
      <c r="H131" s="87" t="str">
        <f>VLOOKUP(Tabela1[[#This Row],[CONCATENAR]],'Classificações - Demonstrações'!$A$5:$C$46003,2,)</f>
        <v>Outros Créditos</v>
      </c>
      <c r="I131" s="87"/>
    </row>
    <row r="132" spans="1:9" ht="12.75" customHeight="1" x14ac:dyDescent="0.2">
      <c r="A132" s="94" t="s">
        <v>5269</v>
      </c>
      <c r="B132" s="87" t="s">
        <v>44</v>
      </c>
      <c r="C132" s="87" t="s">
        <v>97</v>
      </c>
      <c r="D132" s="89">
        <v>37517.5</v>
      </c>
      <c r="E132" s="89"/>
      <c r="F132" s="89"/>
      <c r="G132" s="87" t="str">
        <f t="shared" si="1"/>
        <v>113110103'= VIAGENS - ADIANTAMENTO05678774778</v>
      </c>
      <c r="H132" s="87" t="str">
        <f>VLOOKUP(Tabela1[[#This Row],[CONCATENAR]],'Classificações - Demonstrações'!$A$5:$C$46003,2,)</f>
        <v>Outros Créditos</v>
      </c>
      <c r="I132" s="87"/>
    </row>
    <row r="133" spans="1:9" ht="12.75" customHeight="1" x14ac:dyDescent="0.2">
      <c r="A133" s="94" t="s">
        <v>5269</v>
      </c>
      <c r="B133" s="87" t="s">
        <v>44</v>
      </c>
      <c r="C133" s="87" t="s">
        <v>98</v>
      </c>
      <c r="D133" s="89">
        <v>107665.2</v>
      </c>
      <c r="E133" s="89"/>
      <c r="F133" s="89"/>
      <c r="G133" s="87" t="str">
        <f t="shared" ref="G133:G196" si="2">CONCATENATE(A133,B133,C133)</f>
        <v>113110103'= VIAGENS - ADIANTAMENTO05791053770</v>
      </c>
      <c r="H133" s="87" t="str">
        <f>VLOOKUP(Tabela1[[#This Row],[CONCATENAR]],'Classificações - Demonstrações'!$A$5:$C$46003,2,)</f>
        <v>Outros Créditos</v>
      </c>
      <c r="I133" s="87"/>
    </row>
    <row r="134" spans="1:9" ht="12.75" customHeight="1" x14ac:dyDescent="0.2">
      <c r="A134" s="94" t="s">
        <v>5269</v>
      </c>
      <c r="B134" s="87" t="s">
        <v>44</v>
      </c>
      <c r="C134" s="87" t="s">
        <v>99</v>
      </c>
      <c r="D134" s="89">
        <v>2560</v>
      </c>
      <c r="E134" s="89"/>
      <c r="F134" s="89"/>
      <c r="G134" s="87" t="str">
        <f t="shared" si="2"/>
        <v>113110103'= VIAGENS - ADIANTAMENTO05863108789</v>
      </c>
      <c r="H134" s="87" t="str">
        <f>VLOOKUP(Tabela1[[#This Row],[CONCATENAR]],'Classificações - Demonstrações'!$A$5:$C$46003,2,)</f>
        <v>Outros Créditos</v>
      </c>
      <c r="I134" s="87"/>
    </row>
    <row r="135" spans="1:9" ht="12.75" customHeight="1" x14ac:dyDescent="0.2">
      <c r="A135" s="94" t="s">
        <v>5269</v>
      </c>
      <c r="B135" s="87" t="s">
        <v>44</v>
      </c>
      <c r="C135" s="87" t="s">
        <v>100</v>
      </c>
      <c r="D135" s="89">
        <v>14190</v>
      </c>
      <c r="E135" s="89"/>
      <c r="F135" s="89"/>
      <c r="G135" s="87" t="str">
        <f t="shared" si="2"/>
        <v>113110103'= VIAGENS - ADIANTAMENTO05869949718</v>
      </c>
      <c r="H135" s="87" t="str">
        <f>VLOOKUP(Tabela1[[#This Row],[CONCATENAR]],'Classificações - Demonstrações'!$A$5:$C$46003,2,)</f>
        <v>Outros Créditos</v>
      </c>
      <c r="I135" s="87"/>
    </row>
    <row r="136" spans="1:9" ht="12.75" customHeight="1" x14ac:dyDescent="0.2">
      <c r="A136" s="94" t="s">
        <v>5269</v>
      </c>
      <c r="B136" s="87" t="s">
        <v>44</v>
      </c>
      <c r="C136" s="87" t="s">
        <v>101</v>
      </c>
      <c r="D136" s="89">
        <v>4837</v>
      </c>
      <c r="E136" s="89"/>
      <c r="F136" s="89"/>
      <c r="G136" s="87" t="str">
        <f t="shared" si="2"/>
        <v>113110103'= VIAGENS - ADIANTAMENTO05877414739</v>
      </c>
      <c r="H136" s="87" t="str">
        <f>VLOOKUP(Tabela1[[#This Row],[CONCATENAR]],'Classificações - Demonstrações'!$A$5:$C$46003,2,)</f>
        <v>Outros Créditos</v>
      </c>
      <c r="I136" s="87"/>
    </row>
    <row r="137" spans="1:9" ht="12.75" customHeight="1" x14ac:dyDescent="0.2">
      <c r="A137" s="94" t="s">
        <v>5269</v>
      </c>
      <c r="B137" s="87" t="s">
        <v>44</v>
      </c>
      <c r="C137" s="87" t="s">
        <v>102</v>
      </c>
      <c r="D137" s="89">
        <v>19932</v>
      </c>
      <c r="E137" s="88"/>
      <c r="F137" s="88"/>
      <c r="G137" s="87" t="str">
        <f t="shared" si="2"/>
        <v>113110103'= VIAGENS - ADIANTAMENTO05977083718</v>
      </c>
      <c r="H137" s="87" t="str">
        <f>VLOOKUP(Tabela1[[#This Row],[CONCATENAR]],'Classificações - Demonstrações'!$A$5:$C$46003,2,)</f>
        <v>Outros Créditos</v>
      </c>
      <c r="I137" s="87"/>
    </row>
    <row r="138" spans="1:9" ht="12.75" customHeight="1" x14ac:dyDescent="0.2">
      <c r="A138" s="94" t="s">
        <v>5269</v>
      </c>
      <c r="B138" s="87" t="s">
        <v>44</v>
      </c>
      <c r="C138" s="87" t="s">
        <v>103</v>
      </c>
      <c r="D138" s="89">
        <v>22199</v>
      </c>
      <c r="E138" s="89"/>
      <c r="F138" s="89"/>
      <c r="G138" s="87" t="str">
        <f t="shared" si="2"/>
        <v>113110103'= VIAGENS - ADIANTAMENTO05985523756</v>
      </c>
      <c r="H138" s="87" t="str">
        <f>VLOOKUP(Tabela1[[#This Row],[CONCATENAR]],'Classificações - Demonstrações'!$A$5:$C$46003,2,)</f>
        <v>Outros Créditos</v>
      </c>
      <c r="I138" s="87"/>
    </row>
    <row r="139" spans="1:9" ht="12.75" customHeight="1" x14ac:dyDescent="0.2">
      <c r="A139" s="94" t="s">
        <v>5269</v>
      </c>
      <c r="B139" s="87" t="s">
        <v>44</v>
      </c>
      <c r="C139" s="87" t="s">
        <v>104</v>
      </c>
      <c r="D139" s="89">
        <v>1204</v>
      </c>
      <c r="E139" s="89"/>
      <c r="F139" s="89"/>
      <c r="G139" s="87" t="str">
        <f t="shared" si="2"/>
        <v>113110103'= VIAGENS - ADIANTAMENTO06036103743</v>
      </c>
      <c r="H139" s="87" t="str">
        <f>VLOOKUP(Tabela1[[#This Row],[CONCATENAR]],'Classificações - Demonstrações'!$A$5:$C$46003,2,)</f>
        <v>Outros Créditos</v>
      </c>
      <c r="I139" s="87"/>
    </row>
    <row r="140" spans="1:9" ht="12.75" customHeight="1" x14ac:dyDescent="0.2">
      <c r="A140" s="94" t="s">
        <v>5269</v>
      </c>
      <c r="B140" s="87" t="s">
        <v>44</v>
      </c>
      <c r="C140" s="87" t="s">
        <v>105</v>
      </c>
      <c r="D140" s="89">
        <v>13995</v>
      </c>
      <c r="E140" s="89"/>
      <c r="F140" s="89"/>
      <c r="G140" s="87" t="str">
        <f t="shared" si="2"/>
        <v>113110103'= VIAGENS - ADIANTAMENTO06070982797</v>
      </c>
      <c r="H140" s="87" t="str">
        <f>VLOOKUP(Tabela1[[#This Row],[CONCATENAR]],'Classificações - Demonstrações'!$A$5:$C$46003,2,)</f>
        <v>Outros Créditos</v>
      </c>
      <c r="I140" s="87"/>
    </row>
    <row r="141" spans="1:9" ht="12.75" customHeight="1" x14ac:dyDescent="0.2">
      <c r="A141" s="94" t="s">
        <v>5269</v>
      </c>
      <c r="B141" s="87" t="s">
        <v>44</v>
      </c>
      <c r="C141" s="87" t="s">
        <v>106</v>
      </c>
      <c r="D141" s="88">
        <v>13918</v>
      </c>
      <c r="E141" s="89"/>
      <c r="F141" s="89"/>
      <c r="G141" s="87" t="str">
        <f t="shared" si="2"/>
        <v>113110103'= VIAGENS - ADIANTAMENTO06964465707</v>
      </c>
      <c r="H141" s="87" t="str">
        <f>VLOOKUP(Tabela1[[#This Row],[CONCATENAR]],'Classificações - Demonstrações'!$A$5:$C$46003,2,)</f>
        <v>Outros Créditos</v>
      </c>
      <c r="I141" s="87"/>
    </row>
    <row r="142" spans="1:9" ht="12.75" customHeight="1" x14ac:dyDescent="0.2">
      <c r="A142" s="94" t="s">
        <v>5269</v>
      </c>
      <c r="B142" s="87" t="s">
        <v>44</v>
      </c>
      <c r="C142" s="87" t="s">
        <v>107</v>
      </c>
      <c r="D142" s="89">
        <v>0</v>
      </c>
      <c r="E142" s="89"/>
      <c r="F142" s="89"/>
      <c r="G142" s="87" t="str">
        <f t="shared" si="2"/>
        <v>113110103'= VIAGENS - ADIANTAMENTO07011054707</v>
      </c>
      <c r="H142" s="87" t="str">
        <f>VLOOKUP(Tabela1[[#This Row],[CONCATENAR]],'Classificações - Demonstrações'!$A$5:$C$46003,2,)</f>
        <v>Outros Créditos</v>
      </c>
      <c r="I142" s="87"/>
    </row>
    <row r="143" spans="1:9" ht="12.75" customHeight="1" x14ac:dyDescent="0.2">
      <c r="A143" s="94" t="s">
        <v>5269</v>
      </c>
      <c r="B143" s="87" t="s">
        <v>44</v>
      </c>
      <c r="C143" s="87" t="s">
        <v>108</v>
      </c>
      <c r="D143" s="89">
        <v>18162.5</v>
      </c>
      <c r="E143" s="88"/>
      <c r="F143" s="88"/>
      <c r="G143" s="87" t="str">
        <f t="shared" si="2"/>
        <v>113110103'= VIAGENS - ADIANTAMENTO07034952752</v>
      </c>
      <c r="H143" s="87" t="str">
        <f>VLOOKUP(Tabela1[[#This Row],[CONCATENAR]],'Classificações - Demonstrações'!$A$5:$C$46003,2,)</f>
        <v>Outros Créditos</v>
      </c>
      <c r="I143" s="87"/>
    </row>
    <row r="144" spans="1:9" ht="12.75" customHeight="1" x14ac:dyDescent="0.2">
      <c r="A144" s="94" t="s">
        <v>5269</v>
      </c>
      <c r="B144" s="87" t="s">
        <v>44</v>
      </c>
      <c r="C144" s="87" t="s">
        <v>5130</v>
      </c>
      <c r="D144" s="89">
        <v>2108</v>
      </c>
      <c r="E144" s="88"/>
      <c r="F144" s="88"/>
      <c r="G144" s="87" t="str">
        <f t="shared" si="2"/>
        <v>113110103'= VIAGENS - ADIANTAMENTO07151818742</v>
      </c>
      <c r="H144" s="87" t="str">
        <f>VLOOKUP(Tabela1[[#This Row],[CONCATENAR]],'Classificações - Demonstrações'!$A$5:$C$46003,2,)</f>
        <v>Outros Créditos</v>
      </c>
      <c r="I144" s="87"/>
    </row>
    <row r="145" spans="1:9" ht="12.75" customHeight="1" x14ac:dyDescent="0.2">
      <c r="A145" s="94" t="s">
        <v>5269</v>
      </c>
      <c r="B145" s="87" t="s">
        <v>44</v>
      </c>
      <c r="C145" s="87" t="s">
        <v>5991</v>
      </c>
      <c r="D145" s="89">
        <v>2848</v>
      </c>
      <c r="E145" s="89"/>
      <c r="F145" s="89"/>
      <c r="G145" s="87" t="str">
        <f t="shared" si="2"/>
        <v>113110103'= VIAGENS - ADIANTAMENTO07202216760</v>
      </c>
      <c r="H145" s="87" t="str">
        <f>VLOOKUP(Tabela1[[#This Row],[CONCATENAR]],'Classificações - Demonstrações'!$A$5:$C$46003,2,)</f>
        <v>Outros Créditos</v>
      </c>
      <c r="I145" s="87"/>
    </row>
    <row r="146" spans="1:9" ht="12.75" customHeight="1" x14ac:dyDescent="0.2">
      <c r="A146" s="94" t="s">
        <v>5269</v>
      </c>
      <c r="B146" s="87" t="s">
        <v>44</v>
      </c>
      <c r="C146" s="87" t="s">
        <v>4746</v>
      </c>
      <c r="D146" s="89">
        <v>15688</v>
      </c>
      <c r="E146" s="89"/>
      <c r="F146" s="89"/>
      <c r="G146" s="87" t="str">
        <f t="shared" si="2"/>
        <v>113110103'= VIAGENS - ADIANTAMENTO07247347759</v>
      </c>
      <c r="H146" s="87" t="str">
        <f>VLOOKUP(Tabela1[[#This Row],[CONCATENAR]],'Classificações - Demonstrações'!$A$5:$C$46003,2,)</f>
        <v>Outros Créditos</v>
      </c>
      <c r="I146" s="87"/>
    </row>
    <row r="147" spans="1:9" ht="12.75" customHeight="1" x14ac:dyDescent="0.2">
      <c r="A147" s="94" t="s">
        <v>5269</v>
      </c>
      <c r="B147" s="87" t="s">
        <v>44</v>
      </c>
      <c r="C147" s="87" t="s">
        <v>109</v>
      </c>
      <c r="D147" s="89">
        <v>1408</v>
      </c>
      <c r="E147" s="88"/>
      <c r="F147" s="88"/>
      <c r="G147" s="87" t="str">
        <f t="shared" si="2"/>
        <v>113110103'= VIAGENS - ADIANTAMENTO07332423758</v>
      </c>
      <c r="H147" s="87" t="str">
        <f>VLOOKUP(Tabela1[[#This Row],[CONCATENAR]],'Classificações - Demonstrações'!$A$5:$C$46003,2,)</f>
        <v>Outros Créditos</v>
      </c>
      <c r="I147" s="87"/>
    </row>
    <row r="148" spans="1:9" ht="12.75" customHeight="1" x14ac:dyDescent="0.2">
      <c r="A148" s="94" t="s">
        <v>5269</v>
      </c>
      <c r="B148" s="87" t="s">
        <v>44</v>
      </c>
      <c r="C148" s="87" t="s">
        <v>110</v>
      </c>
      <c r="D148" s="89">
        <v>22691</v>
      </c>
      <c r="E148" s="88"/>
      <c r="F148" s="88"/>
      <c r="G148" s="87" t="str">
        <f t="shared" si="2"/>
        <v>113110103'= VIAGENS - ADIANTAMENTO07349170742</v>
      </c>
      <c r="H148" s="87" t="str">
        <f>VLOOKUP(Tabela1[[#This Row],[CONCATENAR]],'Classificações - Demonstrações'!$A$5:$C$46003,2,)</f>
        <v>Outros Créditos</v>
      </c>
      <c r="I148" s="87"/>
    </row>
    <row r="149" spans="1:9" ht="12.75" customHeight="1" x14ac:dyDescent="0.2">
      <c r="A149" s="94" t="s">
        <v>5269</v>
      </c>
      <c r="B149" s="87" t="s">
        <v>44</v>
      </c>
      <c r="C149" s="87" t="s">
        <v>111</v>
      </c>
      <c r="D149" s="89">
        <v>5062</v>
      </c>
      <c r="E149" s="89"/>
      <c r="F149" s="89"/>
      <c r="G149" s="87" t="str">
        <f t="shared" si="2"/>
        <v>113110103'= VIAGENS - ADIANTAMENTO07358038703</v>
      </c>
      <c r="H149" s="87" t="str">
        <f>VLOOKUP(Tabela1[[#This Row],[CONCATENAR]],'Classificações - Demonstrações'!$A$5:$C$46003,2,)</f>
        <v>Outros Créditos</v>
      </c>
      <c r="I149" s="87"/>
    </row>
    <row r="150" spans="1:9" ht="12.75" customHeight="1" x14ac:dyDescent="0.2">
      <c r="A150" s="94" t="s">
        <v>5269</v>
      </c>
      <c r="B150" s="87" t="s">
        <v>44</v>
      </c>
      <c r="C150" s="87" t="s">
        <v>112</v>
      </c>
      <c r="D150" s="89">
        <v>38538.5</v>
      </c>
      <c r="E150" s="89"/>
      <c r="F150" s="89"/>
      <c r="G150" s="87" t="str">
        <f t="shared" si="2"/>
        <v>113110103'= VIAGENS - ADIANTAMENTO07450725770</v>
      </c>
      <c r="H150" s="87" t="str">
        <f>VLOOKUP(Tabela1[[#This Row],[CONCATENAR]],'Classificações - Demonstrações'!$A$5:$C$46003,2,)</f>
        <v>Outros Créditos</v>
      </c>
      <c r="I150" s="87"/>
    </row>
    <row r="151" spans="1:9" ht="12.75" customHeight="1" x14ac:dyDescent="0.2">
      <c r="A151" s="94" t="s">
        <v>5269</v>
      </c>
      <c r="B151" s="87" t="s">
        <v>44</v>
      </c>
      <c r="C151" s="87" t="s">
        <v>113</v>
      </c>
      <c r="D151" s="89">
        <v>13608</v>
      </c>
      <c r="E151" s="89"/>
      <c r="F151" s="89"/>
      <c r="G151" s="87" t="str">
        <f t="shared" si="2"/>
        <v>113110103'= VIAGENS - ADIANTAMENTO07454288782</v>
      </c>
      <c r="H151" s="87" t="str">
        <f>VLOOKUP(Tabela1[[#This Row],[CONCATENAR]],'Classificações - Demonstrações'!$A$5:$C$46003,2,)</f>
        <v>Outros Créditos</v>
      </c>
      <c r="I151" s="87"/>
    </row>
    <row r="152" spans="1:9" ht="12.75" customHeight="1" x14ac:dyDescent="0.2">
      <c r="A152" s="94" t="s">
        <v>5269</v>
      </c>
      <c r="B152" s="87" t="s">
        <v>44</v>
      </c>
      <c r="C152" s="87" t="s">
        <v>114</v>
      </c>
      <c r="D152" s="89">
        <v>11304.5</v>
      </c>
      <c r="E152" s="89"/>
      <c r="F152" s="89"/>
      <c r="G152" s="87" t="str">
        <f t="shared" si="2"/>
        <v>113110103'= VIAGENS - ADIANTAMENTO07506693739</v>
      </c>
      <c r="H152" s="87" t="str">
        <f>VLOOKUP(Tabela1[[#This Row],[CONCATENAR]],'Classificações - Demonstrações'!$A$5:$C$46003,2,)</f>
        <v>Outros Créditos</v>
      </c>
      <c r="I152" s="87"/>
    </row>
    <row r="153" spans="1:9" ht="12.75" customHeight="1" x14ac:dyDescent="0.2">
      <c r="A153" s="94" t="s">
        <v>5269</v>
      </c>
      <c r="B153" s="87" t="s">
        <v>44</v>
      </c>
      <c r="C153" s="87" t="s">
        <v>115</v>
      </c>
      <c r="D153" s="89">
        <v>10851.5</v>
      </c>
      <c r="E153" s="89"/>
      <c r="F153" s="89"/>
      <c r="G153" s="87" t="str">
        <f t="shared" si="2"/>
        <v>113110103'= VIAGENS - ADIANTAMENTO07552841788</v>
      </c>
      <c r="H153" s="87" t="str">
        <f>VLOOKUP(Tabela1[[#This Row],[CONCATENAR]],'Classificações - Demonstrações'!$A$5:$C$46003,2,)</f>
        <v>Outros Créditos</v>
      </c>
      <c r="I153" s="87"/>
    </row>
    <row r="154" spans="1:9" ht="12.75" customHeight="1" x14ac:dyDescent="0.2">
      <c r="A154" s="94" t="s">
        <v>5269</v>
      </c>
      <c r="B154" s="87" t="s">
        <v>44</v>
      </c>
      <c r="C154" s="87" t="s">
        <v>5992</v>
      </c>
      <c r="D154" s="89">
        <v>0</v>
      </c>
      <c r="E154" s="88"/>
      <c r="F154" s="88"/>
      <c r="G154" s="87" t="str">
        <f t="shared" si="2"/>
        <v>113110103'= VIAGENS - ADIANTAMENTO07554006746</v>
      </c>
      <c r="H154" s="87" t="str">
        <f>VLOOKUP(Tabela1[[#This Row],[CONCATENAR]],'Classificações - Demonstrações'!$A$5:$C$46003,2,)</f>
        <v>Outros Créditos</v>
      </c>
      <c r="I154" s="87"/>
    </row>
    <row r="155" spans="1:9" ht="12.75" customHeight="1" x14ac:dyDescent="0.2">
      <c r="A155" s="94" t="s">
        <v>5269</v>
      </c>
      <c r="B155" s="87" t="s">
        <v>44</v>
      </c>
      <c r="C155" s="87" t="s">
        <v>116</v>
      </c>
      <c r="D155" s="89">
        <v>13153</v>
      </c>
      <c r="E155" s="89"/>
      <c r="F155" s="89"/>
      <c r="G155" s="87" t="str">
        <f t="shared" si="2"/>
        <v>113110103'= VIAGENS - ADIANTAMENTO07568732746</v>
      </c>
      <c r="H155" s="87" t="str">
        <f>VLOOKUP(Tabela1[[#This Row],[CONCATENAR]],'Classificações - Demonstrações'!$A$5:$C$46003,2,)</f>
        <v>Outros Créditos</v>
      </c>
      <c r="I155" s="87"/>
    </row>
    <row r="156" spans="1:9" ht="12.75" customHeight="1" x14ac:dyDescent="0.2">
      <c r="A156" s="94" t="s">
        <v>5269</v>
      </c>
      <c r="B156" s="87" t="s">
        <v>44</v>
      </c>
      <c r="C156" s="87" t="s">
        <v>5551</v>
      </c>
      <c r="D156" s="89">
        <v>11709</v>
      </c>
      <c r="E156" s="89"/>
      <c r="F156" s="89"/>
      <c r="G156" s="87" t="str">
        <f t="shared" si="2"/>
        <v>113110103'= VIAGENS - ADIANTAMENTO07598374732</v>
      </c>
      <c r="H156" s="87" t="str">
        <f>VLOOKUP(Tabela1[[#This Row],[CONCATENAR]],'Classificações - Demonstrações'!$A$5:$C$46003,2,)</f>
        <v>Outros Créditos</v>
      </c>
      <c r="I156" s="87"/>
    </row>
    <row r="157" spans="1:9" ht="12.75" customHeight="1" x14ac:dyDescent="0.2">
      <c r="A157" s="94" t="s">
        <v>5269</v>
      </c>
      <c r="B157" s="87" t="s">
        <v>44</v>
      </c>
      <c r="C157" s="87" t="s">
        <v>117</v>
      </c>
      <c r="D157" s="89">
        <v>2896</v>
      </c>
      <c r="E157" s="89"/>
      <c r="F157" s="89"/>
      <c r="G157" s="87" t="str">
        <f t="shared" si="2"/>
        <v>113110103'= VIAGENS - ADIANTAMENTO07650953785</v>
      </c>
      <c r="H157" s="87" t="str">
        <f>VLOOKUP(Tabela1[[#This Row],[CONCATENAR]],'Classificações - Demonstrações'!$A$5:$C$46003,2,)</f>
        <v>Outros Créditos</v>
      </c>
      <c r="I157" s="87"/>
    </row>
    <row r="158" spans="1:9" ht="12.75" customHeight="1" x14ac:dyDescent="0.2">
      <c r="A158" s="94" t="s">
        <v>5269</v>
      </c>
      <c r="B158" s="87" t="s">
        <v>44</v>
      </c>
      <c r="C158" s="87" t="s">
        <v>118</v>
      </c>
      <c r="D158" s="89">
        <v>55815.5</v>
      </c>
      <c r="E158" s="89"/>
      <c r="F158" s="89"/>
      <c r="G158" s="87" t="str">
        <f t="shared" si="2"/>
        <v>113110103'= VIAGENS - ADIANTAMENTO07712093717</v>
      </c>
      <c r="H158" s="87" t="str">
        <f>VLOOKUP(Tabela1[[#This Row],[CONCATENAR]],'Classificações - Demonstrações'!$A$5:$C$46003,2,)</f>
        <v>Outros Créditos</v>
      </c>
      <c r="I158" s="87"/>
    </row>
    <row r="159" spans="1:9" ht="12.75" customHeight="1" x14ac:dyDescent="0.2">
      <c r="A159" s="94" t="s">
        <v>5269</v>
      </c>
      <c r="B159" s="87" t="s">
        <v>44</v>
      </c>
      <c r="C159" s="87" t="s">
        <v>119</v>
      </c>
      <c r="D159" s="89">
        <v>2894</v>
      </c>
      <c r="E159" s="88"/>
      <c r="F159" s="88"/>
      <c r="G159" s="87" t="str">
        <f t="shared" si="2"/>
        <v>113110103'= VIAGENS - ADIANTAMENTO07788307726</v>
      </c>
      <c r="H159" s="87" t="str">
        <f>VLOOKUP(Tabela1[[#This Row],[CONCATENAR]],'Classificações - Demonstrações'!$A$5:$C$46003,2,)</f>
        <v>Outros Créditos</v>
      </c>
      <c r="I159" s="87"/>
    </row>
    <row r="160" spans="1:9" ht="12.75" customHeight="1" x14ac:dyDescent="0.2">
      <c r="A160" s="94" t="s">
        <v>5269</v>
      </c>
      <c r="B160" s="87" t="s">
        <v>44</v>
      </c>
      <c r="C160" s="87" t="s">
        <v>120</v>
      </c>
      <c r="D160" s="89">
        <v>50895</v>
      </c>
      <c r="E160" s="89"/>
      <c r="F160" s="89"/>
      <c r="G160" s="87" t="str">
        <f t="shared" si="2"/>
        <v>113110103'= VIAGENS - ADIANTAMENTO07808975796</v>
      </c>
      <c r="H160" s="87" t="str">
        <f>VLOOKUP(Tabela1[[#This Row],[CONCATENAR]],'Classificações - Demonstrações'!$A$5:$C$46003,2,)</f>
        <v>Outros Créditos</v>
      </c>
      <c r="I160" s="87"/>
    </row>
    <row r="161" spans="1:9" ht="12.75" customHeight="1" x14ac:dyDescent="0.2">
      <c r="A161" s="94" t="s">
        <v>5269</v>
      </c>
      <c r="B161" s="87" t="s">
        <v>44</v>
      </c>
      <c r="C161" s="87" t="s">
        <v>121</v>
      </c>
      <c r="D161" s="89">
        <v>840</v>
      </c>
      <c r="E161" s="89"/>
      <c r="F161" s="89"/>
      <c r="G161" s="87" t="str">
        <f t="shared" si="2"/>
        <v>113110103'= VIAGENS - ADIANTAMENTO07809171704</v>
      </c>
      <c r="H161" s="87" t="str">
        <f>VLOOKUP(Tabela1[[#This Row],[CONCATENAR]],'Classificações - Demonstrações'!$A$5:$C$46003,2,)</f>
        <v>Outros Créditos</v>
      </c>
      <c r="I161" s="87"/>
    </row>
    <row r="162" spans="1:9" ht="12.75" customHeight="1" x14ac:dyDescent="0.2">
      <c r="A162" s="94" t="s">
        <v>5269</v>
      </c>
      <c r="B162" s="87" t="s">
        <v>44</v>
      </c>
      <c r="C162" s="87" t="s">
        <v>122</v>
      </c>
      <c r="D162" s="89">
        <v>47445</v>
      </c>
      <c r="E162" s="88"/>
      <c r="F162" s="88"/>
      <c r="G162" s="87" t="str">
        <f t="shared" si="2"/>
        <v>113110103'= VIAGENS - ADIANTAMENTO07844342714</v>
      </c>
      <c r="H162" s="87" t="str">
        <f>VLOOKUP(Tabela1[[#This Row],[CONCATENAR]],'Classificações - Demonstrações'!$A$5:$C$46003,2,)</f>
        <v>Outros Créditos</v>
      </c>
      <c r="I162" s="87"/>
    </row>
    <row r="163" spans="1:9" ht="12.75" customHeight="1" x14ac:dyDescent="0.2">
      <c r="A163" s="94" t="s">
        <v>5269</v>
      </c>
      <c r="B163" s="87" t="s">
        <v>44</v>
      </c>
      <c r="C163" s="87" t="s">
        <v>123</v>
      </c>
      <c r="D163" s="89">
        <v>500</v>
      </c>
      <c r="E163" s="88"/>
      <c r="F163" s="88"/>
      <c r="G163" s="87" t="str">
        <f t="shared" si="2"/>
        <v>113110103'= VIAGENS - ADIANTAMENTO07845629707</v>
      </c>
      <c r="H163" s="87" t="str">
        <f>VLOOKUP(Tabela1[[#This Row],[CONCATENAR]],'Classificações - Demonstrações'!$A$5:$C$46003,2,)</f>
        <v>Outros Créditos</v>
      </c>
      <c r="I163" s="87"/>
    </row>
    <row r="164" spans="1:9" ht="12.75" customHeight="1" x14ac:dyDescent="0.2">
      <c r="A164" s="94" t="s">
        <v>5269</v>
      </c>
      <c r="B164" s="87" t="s">
        <v>44</v>
      </c>
      <c r="C164" s="87" t="s">
        <v>124</v>
      </c>
      <c r="D164" s="89">
        <v>24585</v>
      </c>
      <c r="E164" s="89"/>
      <c r="F164" s="89"/>
      <c r="G164" s="87" t="str">
        <f t="shared" si="2"/>
        <v>113110103'= VIAGENS - ADIANTAMENTO07876820719</v>
      </c>
      <c r="H164" s="87" t="str">
        <f>VLOOKUP(Tabela1[[#This Row],[CONCATENAR]],'Classificações - Demonstrações'!$A$5:$C$46003,2,)</f>
        <v>Outros Créditos</v>
      </c>
      <c r="I164" s="87"/>
    </row>
    <row r="165" spans="1:9" ht="12.75" customHeight="1" x14ac:dyDescent="0.2">
      <c r="A165" s="94" t="s">
        <v>5269</v>
      </c>
      <c r="B165" s="87" t="s">
        <v>44</v>
      </c>
      <c r="C165" s="87" t="s">
        <v>125</v>
      </c>
      <c r="D165" s="89">
        <v>30044</v>
      </c>
      <c r="E165" s="88"/>
      <c r="F165" s="88"/>
      <c r="G165" s="87" t="str">
        <f t="shared" si="2"/>
        <v>113110103'= VIAGENS - ADIANTAMENTO07887245761</v>
      </c>
      <c r="H165" s="87" t="str">
        <f>VLOOKUP(Tabela1[[#This Row],[CONCATENAR]],'Classificações - Demonstrações'!$A$5:$C$46003,2,)</f>
        <v>Outros Créditos</v>
      </c>
      <c r="I165" s="87"/>
    </row>
    <row r="166" spans="1:9" ht="12.75" customHeight="1" x14ac:dyDescent="0.2">
      <c r="A166" s="94" t="s">
        <v>5269</v>
      </c>
      <c r="B166" s="87" t="s">
        <v>44</v>
      </c>
      <c r="C166" s="87" t="s">
        <v>126</v>
      </c>
      <c r="D166" s="89">
        <v>108386.78</v>
      </c>
      <c r="E166" s="89"/>
      <c r="F166" s="89"/>
      <c r="G166" s="87" t="str">
        <f t="shared" si="2"/>
        <v>113110103'= VIAGENS - ADIANTAMENTO07912863710</v>
      </c>
      <c r="H166" s="87" t="str">
        <f>VLOOKUP(Tabela1[[#This Row],[CONCATENAR]],'Classificações - Demonstrações'!$A$5:$C$46003,2,)</f>
        <v>Outros Créditos</v>
      </c>
      <c r="I166" s="87"/>
    </row>
    <row r="167" spans="1:9" ht="12.75" customHeight="1" x14ac:dyDescent="0.2">
      <c r="A167" s="94" t="s">
        <v>5269</v>
      </c>
      <c r="B167" s="87" t="s">
        <v>44</v>
      </c>
      <c r="C167" s="87" t="s">
        <v>5659</v>
      </c>
      <c r="D167" s="89">
        <v>3500</v>
      </c>
      <c r="E167" s="89"/>
      <c r="F167" s="89"/>
      <c r="G167" s="87" t="str">
        <f t="shared" si="2"/>
        <v>113110103'= VIAGENS - ADIANTAMENTO08018062757</v>
      </c>
      <c r="H167" s="87" t="str">
        <f>VLOOKUP(Tabela1[[#This Row],[CONCATENAR]],'Classificações - Demonstrações'!$A$5:$C$46003,2,)</f>
        <v>Outros Créditos</v>
      </c>
      <c r="I167" s="87"/>
    </row>
    <row r="168" spans="1:9" ht="12.75" customHeight="1" x14ac:dyDescent="0.2">
      <c r="A168" s="94" t="s">
        <v>5269</v>
      </c>
      <c r="B168" s="87" t="s">
        <v>44</v>
      </c>
      <c r="C168" s="87" t="s">
        <v>5131</v>
      </c>
      <c r="D168" s="89">
        <v>6612</v>
      </c>
      <c r="E168" s="89"/>
      <c r="F168" s="89"/>
      <c r="G168" s="87" t="str">
        <f t="shared" si="2"/>
        <v>113110103'= VIAGENS - ADIANTAMENTO08021211601</v>
      </c>
      <c r="H168" s="87" t="str">
        <f>VLOOKUP(Tabela1[[#This Row],[CONCATENAR]],'Classificações - Demonstrações'!$A$5:$C$46003,2,)</f>
        <v>Outros Créditos</v>
      </c>
      <c r="I168" s="87"/>
    </row>
    <row r="169" spans="1:9" ht="12.75" customHeight="1" x14ac:dyDescent="0.2">
      <c r="A169" s="94" t="s">
        <v>5269</v>
      </c>
      <c r="B169" s="87" t="s">
        <v>44</v>
      </c>
      <c r="C169" s="87" t="s">
        <v>127</v>
      </c>
      <c r="D169" s="89">
        <v>18846</v>
      </c>
      <c r="E169" s="88"/>
      <c r="F169" s="88"/>
      <c r="G169" s="87" t="str">
        <f t="shared" si="2"/>
        <v>113110103'= VIAGENS - ADIANTAMENTO08034666769</v>
      </c>
      <c r="H169" s="87" t="str">
        <f>VLOOKUP(Tabela1[[#This Row],[CONCATENAR]],'Classificações - Demonstrações'!$A$5:$C$46003,2,)</f>
        <v>Outros Créditos</v>
      </c>
      <c r="I169" s="87"/>
    </row>
    <row r="170" spans="1:9" ht="12.75" customHeight="1" x14ac:dyDescent="0.2">
      <c r="A170" s="94" t="s">
        <v>5269</v>
      </c>
      <c r="B170" s="87" t="s">
        <v>44</v>
      </c>
      <c r="C170" s="87" t="s">
        <v>128</v>
      </c>
      <c r="D170" s="89">
        <v>297</v>
      </c>
      <c r="E170" s="88"/>
      <c r="F170" s="88"/>
      <c r="G170" s="87" t="str">
        <f t="shared" si="2"/>
        <v>113110103'= VIAGENS - ADIANTAMENTO08117186705</v>
      </c>
      <c r="H170" s="87" t="str">
        <f>VLOOKUP(Tabela1[[#This Row],[CONCATENAR]],'Classificações - Demonstrações'!$A$5:$C$46003,2,)</f>
        <v>Outros Créditos</v>
      </c>
      <c r="I170" s="87"/>
    </row>
    <row r="171" spans="1:9" ht="12.75" customHeight="1" x14ac:dyDescent="0.2">
      <c r="A171" s="94" t="s">
        <v>5269</v>
      </c>
      <c r="B171" s="87" t="s">
        <v>44</v>
      </c>
      <c r="C171" s="87" t="s">
        <v>129</v>
      </c>
      <c r="D171" s="89">
        <v>788</v>
      </c>
      <c r="E171" s="89"/>
      <c r="F171" s="89"/>
      <c r="G171" s="87" t="str">
        <f t="shared" si="2"/>
        <v>113110103'= VIAGENS - ADIANTAMENTO08252397700</v>
      </c>
      <c r="H171" s="87" t="str">
        <f>VLOOKUP(Tabela1[[#This Row],[CONCATENAR]],'Classificações - Demonstrações'!$A$5:$C$46003,2,)</f>
        <v>Outros Créditos</v>
      </c>
      <c r="I171" s="87"/>
    </row>
    <row r="172" spans="1:9" ht="12.75" customHeight="1" x14ac:dyDescent="0.2">
      <c r="A172" s="94" t="s">
        <v>5269</v>
      </c>
      <c r="B172" s="87" t="s">
        <v>44</v>
      </c>
      <c r="C172" s="87" t="s">
        <v>130</v>
      </c>
      <c r="D172" s="89">
        <v>5194</v>
      </c>
      <c r="E172" s="89"/>
      <c r="F172" s="89"/>
      <c r="G172" s="87" t="str">
        <f t="shared" si="2"/>
        <v>113110103'= VIAGENS - ADIANTAMENTO08253330758</v>
      </c>
      <c r="H172" s="87" t="str">
        <f>VLOOKUP(Tabela1[[#This Row],[CONCATENAR]],'Classificações - Demonstrações'!$A$5:$C$46003,2,)</f>
        <v>Outros Créditos</v>
      </c>
      <c r="I172" s="87"/>
    </row>
    <row r="173" spans="1:9" ht="12.75" customHeight="1" x14ac:dyDescent="0.2">
      <c r="A173" s="94" t="s">
        <v>5269</v>
      </c>
      <c r="B173" s="87" t="s">
        <v>44</v>
      </c>
      <c r="C173" s="87" t="s">
        <v>5993</v>
      </c>
      <c r="D173" s="89">
        <v>640</v>
      </c>
      <c r="E173" s="89"/>
      <c r="F173" s="89"/>
      <c r="G173" s="87" t="str">
        <f t="shared" si="2"/>
        <v>113110103'= VIAGENS - ADIANTAMENTO08320243769</v>
      </c>
      <c r="H173" s="87" t="str">
        <f>VLOOKUP(Tabela1[[#This Row],[CONCATENAR]],'Classificações - Demonstrações'!$A$5:$C$46003,2,)</f>
        <v>Outros Créditos</v>
      </c>
      <c r="I173" s="87"/>
    </row>
    <row r="174" spans="1:9" ht="12.75" customHeight="1" x14ac:dyDescent="0.2">
      <c r="A174" s="94" t="s">
        <v>5269</v>
      </c>
      <c r="B174" s="87" t="s">
        <v>44</v>
      </c>
      <c r="C174" s="87" t="s">
        <v>131</v>
      </c>
      <c r="D174" s="88">
        <v>12103</v>
      </c>
      <c r="E174" s="89"/>
      <c r="F174" s="89"/>
      <c r="G174" s="87" t="str">
        <f t="shared" si="2"/>
        <v>113110103'= VIAGENS - ADIANTAMENTO08352320777</v>
      </c>
      <c r="H174" s="87" t="str">
        <f>VLOOKUP(Tabela1[[#This Row],[CONCATENAR]],'Classificações - Demonstrações'!$A$5:$C$46003,2,)</f>
        <v>Outros Créditos</v>
      </c>
      <c r="I174" s="87"/>
    </row>
    <row r="175" spans="1:9" ht="12.75" customHeight="1" x14ac:dyDescent="0.2">
      <c r="A175" s="94" t="s">
        <v>5269</v>
      </c>
      <c r="B175" s="87" t="s">
        <v>44</v>
      </c>
      <c r="C175" s="87" t="s">
        <v>132</v>
      </c>
      <c r="D175" s="89">
        <v>22385.5</v>
      </c>
      <c r="E175" s="88"/>
      <c r="F175" s="88"/>
      <c r="G175" s="87" t="str">
        <f t="shared" si="2"/>
        <v>113110103'= VIAGENS - ADIANTAMENTO08389037700</v>
      </c>
      <c r="H175" s="87" t="str">
        <f>VLOOKUP(Tabela1[[#This Row],[CONCATENAR]],'Classificações - Demonstrações'!$A$5:$C$46003,2,)</f>
        <v>Outros Créditos</v>
      </c>
      <c r="I175" s="87"/>
    </row>
    <row r="176" spans="1:9" ht="12.75" customHeight="1" x14ac:dyDescent="0.2">
      <c r="A176" s="94" t="s">
        <v>5269</v>
      </c>
      <c r="B176" s="87" t="s">
        <v>44</v>
      </c>
      <c r="C176" s="87" t="s">
        <v>133</v>
      </c>
      <c r="D176" s="89">
        <v>31766.5</v>
      </c>
      <c r="E176" s="88"/>
      <c r="F176" s="88"/>
      <c r="G176" s="87" t="str">
        <f t="shared" si="2"/>
        <v>113110103'= VIAGENS - ADIANTAMENTO08403534728</v>
      </c>
      <c r="H176" s="87" t="str">
        <f>VLOOKUP(Tabela1[[#This Row],[CONCATENAR]],'Classificações - Demonstrações'!$A$5:$C$46003,2,)</f>
        <v>Outros Créditos</v>
      </c>
      <c r="I176" s="87"/>
    </row>
    <row r="177" spans="1:9" ht="12.75" customHeight="1" x14ac:dyDescent="0.2">
      <c r="A177" s="94" t="s">
        <v>5269</v>
      </c>
      <c r="B177" s="87" t="s">
        <v>44</v>
      </c>
      <c r="C177" s="87" t="s">
        <v>5132</v>
      </c>
      <c r="D177" s="89">
        <v>128</v>
      </c>
      <c r="E177" s="89"/>
      <c r="F177" s="89"/>
      <c r="G177" s="87" t="str">
        <f t="shared" si="2"/>
        <v>113110103'= VIAGENS - ADIANTAMENTO08441748748</v>
      </c>
      <c r="H177" s="87" t="str">
        <f>VLOOKUP(Tabela1[[#This Row],[CONCATENAR]],'Classificações - Demonstrações'!$A$5:$C$46003,2,)</f>
        <v>Outros Créditos</v>
      </c>
      <c r="I177" s="87"/>
    </row>
    <row r="178" spans="1:9" ht="12.75" customHeight="1" x14ac:dyDescent="0.2">
      <c r="A178" s="94" t="s">
        <v>5269</v>
      </c>
      <c r="B178" s="87" t="s">
        <v>44</v>
      </c>
      <c r="C178" s="87" t="s">
        <v>134</v>
      </c>
      <c r="D178" s="89">
        <v>23243.439999999999</v>
      </c>
      <c r="E178" s="88"/>
      <c r="F178" s="88"/>
      <c r="G178" s="87" t="str">
        <f t="shared" si="2"/>
        <v>113110103'= VIAGENS - ADIANTAMENTO08471275759</v>
      </c>
      <c r="H178" s="87" t="str">
        <f>VLOOKUP(Tabela1[[#This Row],[CONCATENAR]],'Classificações - Demonstrações'!$A$5:$C$46003,2,)</f>
        <v>Outros Créditos</v>
      </c>
      <c r="I178" s="87"/>
    </row>
    <row r="179" spans="1:9" ht="12.75" customHeight="1" x14ac:dyDescent="0.2">
      <c r="A179" s="94" t="s">
        <v>5269</v>
      </c>
      <c r="B179" s="87" t="s">
        <v>44</v>
      </c>
      <c r="C179" s="87" t="s">
        <v>135</v>
      </c>
      <c r="D179" s="89">
        <v>27998.5</v>
      </c>
      <c r="E179" s="88"/>
      <c r="F179" s="88"/>
      <c r="G179" s="87" t="str">
        <f t="shared" si="2"/>
        <v>113110103'= VIAGENS - ADIANTAMENTO08502159780</v>
      </c>
      <c r="H179" s="87" t="str">
        <f>VLOOKUP(Tabela1[[#This Row],[CONCATENAR]],'Classificações - Demonstrações'!$A$5:$C$46003,2,)</f>
        <v>Outros Créditos</v>
      </c>
      <c r="I179" s="87"/>
    </row>
    <row r="180" spans="1:9" ht="12.75" customHeight="1" x14ac:dyDescent="0.2">
      <c r="A180" s="94" t="s">
        <v>5269</v>
      </c>
      <c r="B180" s="87" t="s">
        <v>44</v>
      </c>
      <c r="C180" s="87" t="s">
        <v>136</v>
      </c>
      <c r="D180" s="89">
        <v>5644</v>
      </c>
      <c r="E180" s="88"/>
      <c r="F180" s="88"/>
      <c r="G180" s="87" t="str">
        <f t="shared" si="2"/>
        <v>113110103'= VIAGENS - ADIANTAMENTO08510378797</v>
      </c>
      <c r="H180" s="87" t="str">
        <f>VLOOKUP(Tabela1[[#This Row],[CONCATENAR]],'Classificações - Demonstrações'!$A$5:$C$46003,2,)</f>
        <v>Outros Créditos</v>
      </c>
      <c r="I180" s="87"/>
    </row>
    <row r="181" spans="1:9" ht="12.75" customHeight="1" x14ac:dyDescent="0.2">
      <c r="A181" s="94" t="s">
        <v>5269</v>
      </c>
      <c r="B181" s="87" t="s">
        <v>44</v>
      </c>
      <c r="C181" s="87" t="s">
        <v>137</v>
      </c>
      <c r="D181" s="89">
        <v>44300.959999999999</v>
      </c>
      <c r="E181" s="88"/>
      <c r="F181" s="88"/>
      <c r="G181" s="87" t="str">
        <f t="shared" si="2"/>
        <v>113110103'= VIAGENS - ADIANTAMENTO08610700704</v>
      </c>
      <c r="H181" s="87" t="str">
        <f>VLOOKUP(Tabela1[[#This Row],[CONCATENAR]],'Classificações - Demonstrações'!$A$5:$C$46003,2,)</f>
        <v>Outros Créditos</v>
      </c>
      <c r="I181" s="87"/>
    </row>
    <row r="182" spans="1:9" ht="12.75" customHeight="1" x14ac:dyDescent="0.2">
      <c r="A182" s="94" t="s">
        <v>5269</v>
      </c>
      <c r="B182" s="87" t="s">
        <v>44</v>
      </c>
      <c r="C182" s="87" t="s">
        <v>5026</v>
      </c>
      <c r="D182" s="89">
        <v>387</v>
      </c>
      <c r="E182" s="89"/>
      <c r="F182" s="89"/>
      <c r="G182" s="87" t="str">
        <f t="shared" si="2"/>
        <v>113110103'= VIAGENS - ADIANTAMENTO08673069718</v>
      </c>
      <c r="H182" s="87" t="str">
        <f>VLOOKUP(Tabela1[[#This Row],[CONCATENAR]],'Classificações - Demonstrações'!$A$5:$C$46003,2,)</f>
        <v>Outros Créditos</v>
      </c>
      <c r="I182" s="87"/>
    </row>
    <row r="183" spans="1:9" ht="12.75" customHeight="1" x14ac:dyDescent="0.2">
      <c r="A183" s="94" t="s">
        <v>5269</v>
      </c>
      <c r="B183" s="87" t="s">
        <v>44</v>
      </c>
      <c r="C183" s="87" t="s">
        <v>138</v>
      </c>
      <c r="D183" s="89">
        <v>36811</v>
      </c>
      <c r="E183" s="89"/>
      <c r="F183" s="89"/>
      <c r="G183" s="87" t="str">
        <f t="shared" si="2"/>
        <v>113110103'= VIAGENS - ADIANTAMENTO08687718721</v>
      </c>
      <c r="H183" s="87" t="str">
        <f>VLOOKUP(Tabela1[[#This Row],[CONCATENAR]],'Classificações - Demonstrações'!$A$5:$C$46003,2,)</f>
        <v>Outros Créditos</v>
      </c>
      <c r="I183" s="87"/>
    </row>
    <row r="184" spans="1:9" ht="12.75" customHeight="1" x14ac:dyDescent="0.2">
      <c r="A184" s="94" t="s">
        <v>5269</v>
      </c>
      <c r="B184" s="87" t="s">
        <v>44</v>
      </c>
      <c r="C184" s="87" t="s">
        <v>139</v>
      </c>
      <c r="D184" s="89">
        <v>16398</v>
      </c>
      <c r="E184" s="88"/>
      <c r="F184" s="88"/>
      <c r="G184" s="87" t="str">
        <f t="shared" si="2"/>
        <v>113110103'= VIAGENS - ADIANTAMENTO08691815728</v>
      </c>
      <c r="H184" s="87" t="str">
        <f>VLOOKUP(Tabela1[[#This Row],[CONCATENAR]],'Classificações - Demonstrações'!$A$5:$C$46003,2,)</f>
        <v>Outros Créditos</v>
      </c>
      <c r="I184" s="87"/>
    </row>
    <row r="185" spans="1:9" ht="12.75" customHeight="1" x14ac:dyDescent="0.2">
      <c r="A185" s="94" t="s">
        <v>5269</v>
      </c>
      <c r="B185" s="87" t="s">
        <v>44</v>
      </c>
      <c r="C185" s="87" t="s">
        <v>140</v>
      </c>
      <c r="D185" s="89">
        <v>8914</v>
      </c>
      <c r="E185" s="88"/>
      <c r="F185" s="88"/>
      <c r="G185" s="87" t="str">
        <f t="shared" si="2"/>
        <v>113110103'= VIAGENS - ADIANTAMENTO08741297709</v>
      </c>
      <c r="H185" s="87" t="str">
        <f>VLOOKUP(Tabela1[[#This Row],[CONCATENAR]],'Classificações - Demonstrações'!$A$5:$C$46003,2,)</f>
        <v>Outros Créditos</v>
      </c>
      <c r="I185" s="87"/>
    </row>
    <row r="186" spans="1:9" ht="12.75" customHeight="1" x14ac:dyDescent="0.2">
      <c r="A186" s="94" t="s">
        <v>5269</v>
      </c>
      <c r="B186" s="87" t="s">
        <v>44</v>
      </c>
      <c r="C186" s="87" t="s">
        <v>141</v>
      </c>
      <c r="D186" s="88">
        <v>15138</v>
      </c>
      <c r="E186" s="89"/>
      <c r="F186" s="89"/>
      <c r="G186" s="87" t="str">
        <f t="shared" si="2"/>
        <v>113110103'= VIAGENS - ADIANTAMENTO08751517795</v>
      </c>
      <c r="H186" s="87" t="str">
        <f>VLOOKUP(Tabela1[[#This Row],[CONCATENAR]],'Classificações - Demonstrações'!$A$5:$C$46003,2,)</f>
        <v>Outros Créditos</v>
      </c>
      <c r="I186" s="87"/>
    </row>
    <row r="187" spans="1:9" ht="12.75" customHeight="1" x14ac:dyDescent="0.2">
      <c r="A187" s="94" t="s">
        <v>5269</v>
      </c>
      <c r="B187" s="87" t="s">
        <v>44</v>
      </c>
      <c r="C187" s="87" t="s">
        <v>142</v>
      </c>
      <c r="D187" s="89">
        <v>1387</v>
      </c>
      <c r="E187" s="89"/>
      <c r="F187" s="89"/>
      <c r="G187" s="87" t="str">
        <f t="shared" si="2"/>
        <v>113110103'= VIAGENS - ADIANTAMENTO09074683738</v>
      </c>
      <c r="H187" s="87" t="str">
        <f>VLOOKUP(Tabela1[[#This Row],[CONCATENAR]],'Classificações - Demonstrações'!$A$5:$C$46003,2,)</f>
        <v>Outros Créditos</v>
      </c>
      <c r="I187" s="87"/>
    </row>
    <row r="188" spans="1:9" ht="12.75" customHeight="1" x14ac:dyDescent="0.2">
      <c r="A188" s="94" t="s">
        <v>5269</v>
      </c>
      <c r="B188" s="87" t="s">
        <v>44</v>
      </c>
      <c r="C188" s="87" t="s">
        <v>143</v>
      </c>
      <c r="D188" s="89">
        <v>9333</v>
      </c>
      <c r="E188" s="88"/>
      <c r="F188" s="88"/>
      <c r="G188" s="87" t="str">
        <f t="shared" si="2"/>
        <v>113110103'= VIAGENS - ADIANTAMENTO09083315762</v>
      </c>
      <c r="H188" s="87" t="str">
        <f>VLOOKUP(Tabela1[[#This Row],[CONCATENAR]],'Classificações - Demonstrações'!$A$5:$C$46003,2,)</f>
        <v>Outros Créditos</v>
      </c>
      <c r="I188" s="87"/>
    </row>
    <row r="189" spans="1:9" ht="12.75" customHeight="1" x14ac:dyDescent="0.2">
      <c r="A189" s="94" t="s">
        <v>5269</v>
      </c>
      <c r="B189" s="87" t="s">
        <v>44</v>
      </c>
      <c r="C189" s="87" t="s">
        <v>144</v>
      </c>
      <c r="D189" s="89">
        <v>1645</v>
      </c>
      <c r="E189" s="89"/>
      <c r="F189" s="89"/>
      <c r="G189" s="87" t="str">
        <f t="shared" si="2"/>
        <v>113110103'= VIAGENS - ADIANTAMENTO09125619713</v>
      </c>
      <c r="H189" s="87" t="str">
        <f>VLOOKUP(Tabela1[[#This Row],[CONCATENAR]],'Classificações - Demonstrações'!$A$5:$C$46003,2,)</f>
        <v>Outros Créditos</v>
      </c>
      <c r="I189" s="87"/>
    </row>
    <row r="190" spans="1:9" ht="12.75" customHeight="1" x14ac:dyDescent="0.2">
      <c r="A190" s="94" t="s">
        <v>5269</v>
      </c>
      <c r="B190" s="87" t="s">
        <v>44</v>
      </c>
      <c r="C190" s="87" t="s">
        <v>145</v>
      </c>
      <c r="D190" s="89">
        <v>43919</v>
      </c>
      <c r="E190" s="89"/>
      <c r="F190" s="89"/>
      <c r="G190" s="87" t="str">
        <f t="shared" si="2"/>
        <v>113110103'= VIAGENS - ADIANTAMENTO09175552795</v>
      </c>
      <c r="H190" s="87" t="str">
        <f>VLOOKUP(Tabela1[[#This Row],[CONCATENAR]],'Classificações - Demonstrações'!$A$5:$C$46003,2,)</f>
        <v>Outros Créditos</v>
      </c>
      <c r="I190" s="87"/>
    </row>
    <row r="191" spans="1:9" ht="12.75" customHeight="1" x14ac:dyDescent="0.2">
      <c r="A191" s="94" t="s">
        <v>5269</v>
      </c>
      <c r="B191" s="87" t="s">
        <v>44</v>
      </c>
      <c r="C191" s="87" t="s">
        <v>146</v>
      </c>
      <c r="D191" s="89">
        <v>34238.5</v>
      </c>
      <c r="E191" s="89"/>
      <c r="F191" s="89"/>
      <c r="G191" s="87" t="str">
        <f t="shared" si="2"/>
        <v>113110103'= VIAGENS - ADIANTAMENTO09233861732</v>
      </c>
      <c r="H191" s="87" t="str">
        <f>VLOOKUP(Tabela1[[#This Row],[CONCATENAR]],'Classificações - Demonstrações'!$A$5:$C$46003,2,)</f>
        <v>Outros Créditos</v>
      </c>
      <c r="I191" s="87"/>
    </row>
    <row r="192" spans="1:9" ht="12.75" customHeight="1" x14ac:dyDescent="0.2">
      <c r="A192" s="94" t="s">
        <v>5269</v>
      </c>
      <c r="B192" s="87" t="s">
        <v>44</v>
      </c>
      <c r="C192" s="87" t="s">
        <v>147</v>
      </c>
      <c r="D192" s="89">
        <v>15891</v>
      </c>
      <c r="E192" s="89"/>
      <c r="F192" s="89"/>
      <c r="G192" s="87" t="str">
        <f t="shared" si="2"/>
        <v>113110103'= VIAGENS - ADIANTAMENTO09285929796</v>
      </c>
      <c r="H192" s="87" t="str">
        <f>VLOOKUP(Tabela1[[#This Row],[CONCATENAR]],'Classificações - Demonstrações'!$A$5:$C$46003,2,)</f>
        <v>Outros Créditos</v>
      </c>
      <c r="I192" s="87"/>
    </row>
    <row r="193" spans="1:9" ht="12.75" customHeight="1" x14ac:dyDescent="0.2">
      <c r="A193" s="94" t="s">
        <v>5269</v>
      </c>
      <c r="B193" s="87" t="s">
        <v>44</v>
      </c>
      <c r="C193" s="87" t="s">
        <v>148</v>
      </c>
      <c r="D193" s="89">
        <v>3585</v>
      </c>
      <c r="E193" s="88"/>
      <c r="F193" s="88"/>
      <c r="G193" s="87" t="str">
        <f t="shared" si="2"/>
        <v>113110103'= VIAGENS - ADIANTAMENTO09296059771</v>
      </c>
      <c r="H193" s="87" t="str">
        <f>VLOOKUP(Tabela1[[#This Row],[CONCATENAR]],'Classificações - Demonstrações'!$A$5:$C$46003,2,)</f>
        <v>Outros Créditos</v>
      </c>
      <c r="I193" s="87"/>
    </row>
    <row r="194" spans="1:9" ht="12.75" customHeight="1" x14ac:dyDescent="0.2">
      <c r="A194" s="94" t="s">
        <v>5269</v>
      </c>
      <c r="B194" s="87" t="s">
        <v>44</v>
      </c>
      <c r="C194" s="87" t="s">
        <v>5027</v>
      </c>
      <c r="D194" s="89">
        <v>28904</v>
      </c>
      <c r="E194" s="88"/>
      <c r="F194" s="88"/>
      <c r="G194" s="87" t="str">
        <f t="shared" si="2"/>
        <v>113110103'= VIAGENS - ADIANTAMENTO09331299710</v>
      </c>
      <c r="H194" s="87" t="str">
        <f>VLOOKUP(Tabela1[[#This Row],[CONCATENAR]],'Classificações - Demonstrações'!$A$5:$C$46003,2,)</f>
        <v>Outros Créditos</v>
      </c>
      <c r="I194" s="87"/>
    </row>
    <row r="195" spans="1:9" ht="12.75" customHeight="1" x14ac:dyDescent="0.2">
      <c r="A195" s="94" t="s">
        <v>5269</v>
      </c>
      <c r="B195" s="87" t="s">
        <v>44</v>
      </c>
      <c r="C195" s="87" t="s">
        <v>5552</v>
      </c>
      <c r="D195" s="89">
        <v>4449</v>
      </c>
      <c r="E195" s="89"/>
      <c r="F195" s="89"/>
      <c r="G195" s="87" t="str">
        <f t="shared" si="2"/>
        <v>113110103'= VIAGENS - ADIANTAMENTO09398725797</v>
      </c>
      <c r="H195" s="87" t="str">
        <f>VLOOKUP(Tabela1[[#This Row],[CONCATENAR]],'Classificações - Demonstrações'!$A$5:$C$46003,2,)</f>
        <v>Outros Créditos</v>
      </c>
      <c r="I195" s="87"/>
    </row>
    <row r="196" spans="1:9" ht="12.75" customHeight="1" x14ac:dyDescent="0.2">
      <c r="A196" s="94" t="s">
        <v>5269</v>
      </c>
      <c r="B196" s="87" t="s">
        <v>44</v>
      </c>
      <c r="C196" s="87" t="s">
        <v>149</v>
      </c>
      <c r="D196" s="89">
        <v>133965.12</v>
      </c>
      <c r="E196" s="89"/>
      <c r="F196" s="89"/>
      <c r="G196" s="87" t="str">
        <f t="shared" si="2"/>
        <v>113110103'= VIAGENS - ADIANTAMENTO09409138795</v>
      </c>
      <c r="H196" s="87" t="str">
        <f>VLOOKUP(Tabela1[[#This Row],[CONCATENAR]],'Classificações - Demonstrações'!$A$5:$C$46003,2,)</f>
        <v>Outros Créditos</v>
      </c>
      <c r="I196" s="87"/>
    </row>
    <row r="197" spans="1:9" ht="12.75" customHeight="1" x14ac:dyDescent="0.2">
      <c r="A197" s="94" t="s">
        <v>5269</v>
      </c>
      <c r="B197" s="87" t="s">
        <v>44</v>
      </c>
      <c r="C197" s="87" t="s">
        <v>150</v>
      </c>
      <c r="D197" s="89">
        <v>882</v>
      </c>
      <c r="E197" s="88"/>
      <c r="F197" s="88"/>
      <c r="G197" s="87" t="str">
        <f t="shared" ref="G197:G260" si="3">CONCATENATE(A197,B197,C197)</f>
        <v>113110103'= VIAGENS - ADIANTAMENTO09480332744</v>
      </c>
      <c r="H197" s="87" t="str">
        <f>VLOOKUP(Tabela1[[#This Row],[CONCATENAR]],'Classificações - Demonstrações'!$A$5:$C$46003,2,)</f>
        <v>Outros Créditos</v>
      </c>
      <c r="I197" s="87"/>
    </row>
    <row r="198" spans="1:9" ht="12.75" customHeight="1" x14ac:dyDescent="0.2">
      <c r="A198" s="94" t="s">
        <v>5269</v>
      </c>
      <c r="B198" s="87" t="s">
        <v>44</v>
      </c>
      <c r="C198" s="87" t="s">
        <v>4532</v>
      </c>
      <c r="D198" s="89">
        <v>968</v>
      </c>
      <c r="E198" s="89"/>
      <c r="F198" s="89"/>
      <c r="G198" s="87" t="str">
        <f t="shared" si="3"/>
        <v>113110103'= VIAGENS - ADIANTAMENTO09495432766</v>
      </c>
      <c r="H198" s="87" t="str">
        <f>VLOOKUP(Tabela1[[#This Row],[CONCATENAR]],'Classificações - Demonstrações'!$A$5:$C$46003,2,)</f>
        <v>Outros Créditos</v>
      </c>
      <c r="I198" s="87"/>
    </row>
    <row r="199" spans="1:9" ht="12.75" customHeight="1" x14ac:dyDescent="0.2">
      <c r="A199" s="94" t="s">
        <v>5269</v>
      </c>
      <c r="B199" s="87" t="s">
        <v>44</v>
      </c>
      <c r="C199" s="87" t="s">
        <v>151</v>
      </c>
      <c r="D199" s="89">
        <v>34561</v>
      </c>
      <c r="E199" s="88"/>
      <c r="F199" s="88"/>
      <c r="G199" s="87" t="str">
        <f t="shared" si="3"/>
        <v>113110103'= VIAGENS - ADIANTAMENTO09537610705</v>
      </c>
      <c r="H199" s="87" t="str">
        <f>VLOOKUP(Tabela1[[#This Row],[CONCATENAR]],'Classificações - Demonstrações'!$A$5:$C$46003,2,)</f>
        <v>Outros Créditos</v>
      </c>
      <c r="I199" s="87"/>
    </row>
    <row r="200" spans="1:9" ht="12.75" customHeight="1" x14ac:dyDescent="0.2">
      <c r="A200" s="94" t="s">
        <v>5269</v>
      </c>
      <c r="B200" s="87" t="s">
        <v>44</v>
      </c>
      <c r="C200" s="87" t="s">
        <v>5133</v>
      </c>
      <c r="D200" s="89">
        <v>1904</v>
      </c>
      <c r="E200" s="88"/>
      <c r="F200" s="88"/>
      <c r="G200" s="87" t="str">
        <f t="shared" si="3"/>
        <v>113110103'= VIAGENS - ADIANTAMENTO09544432760</v>
      </c>
      <c r="H200" s="87" t="str">
        <f>VLOOKUP(Tabela1[[#This Row],[CONCATENAR]],'Classificações - Demonstrações'!$A$5:$C$46003,2,)</f>
        <v>Outros Créditos</v>
      </c>
      <c r="I200" s="87"/>
    </row>
    <row r="201" spans="1:9" ht="12.75" customHeight="1" x14ac:dyDescent="0.2">
      <c r="A201" s="94" t="s">
        <v>5269</v>
      </c>
      <c r="B201" s="87" t="s">
        <v>44</v>
      </c>
      <c r="C201" s="87" t="s">
        <v>4747</v>
      </c>
      <c r="D201" s="89">
        <v>900</v>
      </c>
      <c r="E201" s="89"/>
      <c r="F201" s="89"/>
      <c r="G201" s="87" t="str">
        <f t="shared" si="3"/>
        <v>113110103'= VIAGENS - ADIANTAMENTO09551885716</v>
      </c>
      <c r="H201" s="87" t="str">
        <f>VLOOKUP(Tabela1[[#This Row],[CONCATENAR]],'Classificações - Demonstrações'!$A$5:$C$46003,2,)</f>
        <v>Outros Créditos</v>
      </c>
      <c r="I201" s="87"/>
    </row>
    <row r="202" spans="1:9" ht="12.75" customHeight="1" x14ac:dyDescent="0.2">
      <c r="A202" s="94" t="s">
        <v>5269</v>
      </c>
      <c r="B202" s="87" t="s">
        <v>44</v>
      </c>
      <c r="C202" s="87" t="s">
        <v>5553</v>
      </c>
      <c r="D202" s="89">
        <v>4760</v>
      </c>
      <c r="E202" s="88"/>
      <c r="F202" s="88"/>
      <c r="G202" s="87" t="str">
        <f t="shared" si="3"/>
        <v>113110103'= VIAGENS - ADIANTAMENTO09577155790</v>
      </c>
      <c r="H202" s="87" t="str">
        <f>VLOOKUP(Tabela1[[#This Row],[CONCATENAR]],'Classificações - Demonstrações'!$A$5:$C$46003,2,)</f>
        <v>Outros Créditos</v>
      </c>
      <c r="I202" s="87"/>
    </row>
    <row r="203" spans="1:9" ht="12.75" customHeight="1" x14ac:dyDescent="0.2">
      <c r="A203" s="94" t="s">
        <v>5269</v>
      </c>
      <c r="B203" s="87" t="s">
        <v>44</v>
      </c>
      <c r="C203" s="87" t="s">
        <v>152</v>
      </c>
      <c r="D203" s="89">
        <v>24007</v>
      </c>
      <c r="E203" s="88"/>
      <c r="F203" s="88"/>
      <c r="G203" s="87" t="str">
        <f t="shared" si="3"/>
        <v>113110103'= VIAGENS - ADIANTAMENTO09621077788</v>
      </c>
      <c r="H203" s="87" t="str">
        <f>VLOOKUP(Tabela1[[#This Row],[CONCATENAR]],'Classificações - Demonstrações'!$A$5:$C$46003,2,)</f>
        <v>Outros Créditos</v>
      </c>
      <c r="I203" s="87"/>
    </row>
    <row r="204" spans="1:9" ht="12.75" customHeight="1" x14ac:dyDescent="0.2">
      <c r="A204" s="94" t="s">
        <v>5269</v>
      </c>
      <c r="B204" s="87" t="s">
        <v>44</v>
      </c>
      <c r="C204" s="87" t="s">
        <v>153</v>
      </c>
      <c r="D204" s="89">
        <v>32130</v>
      </c>
      <c r="E204" s="89"/>
      <c r="F204" s="89"/>
      <c r="G204" s="87" t="str">
        <f t="shared" si="3"/>
        <v>113110103'= VIAGENS - ADIANTAMENTO09625244760</v>
      </c>
      <c r="H204" s="87" t="str">
        <f>VLOOKUP(Tabela1[[#This Row],[CONCATENAR]],'Classificações - Demonstrações'!$A$5:$C$46003,2,)</f>
        <v>Outros Créditos</v>
      </c>
      <c r="I204" s="87"/>
    </row>
    <row r="205" spans="1:9" ht="12.75" customHeight="1" x14ac:dyDescent="0.2">
      <c r="A205" s="94" t="s">
        <v>5269</v>
      </c>
      <c r="B205" s="87" t="s">
        <v>44</v>
      </c>
      <c r="C205" s="87" t="s">
        <v>154</v>
      </c>
      <c r="D205" s="89">
        <v>1715</v>
      </c>
      <c r="E205" s="89"/>
      <c r="F205" s="89"/>
      <c r="G205" s="87" t="str">
        <f t="shared" si="3"/>
        <v>113110103'= VIAGENS - ADIANTAMENTO09667427706</v>
      </c>
      <c r="H205" s="87" t="str">
        <f>VLOOKUP(Tabela1[[#This Row],[CONCATENAR]],'Classificações - Demonstrações'!$A$5:$C$46003,2,)</f>
        <v>Outros Créditos</v>
      </c>
      <c r="I205" s="87"/>
    </row>
    <row r="206" spans="1:9" ht="12.75" customHeight="1" x14ac:dyDescent="0.2">
      <c r="A206" s="94" t="s">
        <v>5269</v>
      </c>
      <c r="B206" s="87" t="s">
        <v>44</v>
      </c>
      <c r="C206" s="87" t="s">
        <v>155</v>
      </c>
      <c r="D206" s="89">
        <v>11149</v>
      </c>
      <c r="E206" s="88"/>
      <c r="F206" s="88"/>
      <c r="G206" s="87" t="str">
        <f t="shared" si="3"/>
        <v>113110103'= VIAGENS - ADIANTAMENTO09710217755</v>
      </c>
      <c r="H206" s="87" t="str">
        <f>VLOOKUP(Tabela1[[#This Row],[CONCATENAR]],'Classificações - Demonstrações'!$A$5:$C$46003,2,)</f>
        <v>Outros Créditos</v>
      </c>
      <c r="I206" s="87"/>
    </row>
    <row r="207" spans="1:9" ht="12.75" customHeight="1" x14ac:dyDescent="0.2">
      <c r="A207" s="94" t="s">
        <v>5269</v>
      </c>
      <c r="B207" s="87" t="s">
        <v>44</v>
      </c>
      <c r="C207" s="87" t="s">
        <v>156</v>
      </c>
      <c r="D207" s="89">
        <v>41924.5</v>
      </c>
      <c r="E207" s="89"/>
      <c r="F207" s="89"/>
      <c r="G207" s="87" t="str">
        <f t="shared" si="3"/>
        <v>113110103'= VIAGENS - ADIANTAMENTO09715087710</v>
      </c>
      <c r="H207" s="87" t="str">
        <f>VLOOKUP(Tabela1[[#This Row],[CONCATENAR]],'Classificações - Demonstrações'!$A$5:$C$46003,2,)</f>
        <v>Outros Créditos</v>
      </c>
      <c r="I207" s="87"/>
    </row>
    <row r="208" spans="1:9" ht="12.75" customHeight="1" x14ac:dyDescent="0.2">
      <c r="A208" s="94" t="s">
        <v>5269</v>
      </c>
      <c r="B208" s="87" t="s">
        <v>44</v>
      </c>
      <c r="C208" s="87" t="s">
        <v>157</v>
      </c>
      <c r="D208" s="89">
        <v>856</v>
      </c>
      <c r="E208" s="88"/>
      <c r="F208" s="88"/>
      <c r="G208" s="87" t="str">
        <f t="shared" si="3"/>
        <v>113110103'= VIAGENS - ADIANTAMENTO09773174719</v>
      </c>
      <c r="H208" s="87" t="str">
        <f>VLOOKUP(Tabela1[[#This Row],[CONCATENAR]],'Classificações - Demonstrações'!$A$5:$C$46003,2,)</f>
        <v>Outros Créditos</v>
      </c>
      <c r="I208" s="87"/>
    </row>
    <row r="209" spans="1:9" ht="12.75" customHeight="1" x14ac:dyDescent="0.2">
      <c r="A209" s="94" t="s">
        <v>5269</v>
      </c>
      <c r="B209" s="87" t="s">
        <v>44</v>
      </c>
      <c r="C209" s="87" t="s">
        <v>158</v>
      </c>
      <c r="D209" s="89">
        <v>22831</v>
      </c>
      <c r="E209" s="89"/>
      <c r="F209" s="89"/>
      <c r="G209" s="87" t="str">
        <f t="shared" si="3"/>
        <v>113110103'= VIAGENS - ADIANTAMENTO09788118798</v>
      </c>
      <c r="H209" s="87" t="str">
        <f>VLOOKUP(Tabela1[[#This Row],[CONCATENAR]],'Classificações - Demonstrações'!$A$5:$C$46003,2,)</f>
        <v>Outros Créditos</v>
      </c>
      <c r="I209" s="87"/>
    </row>
    <row r="210" spans="1:9" ht="12.75" customHeight="1" x14ac:dyDescent="0.2">
      <c r="A210" s="94" t="s">
        <v>5269</v>
      </c>
      <c r="B210" s="87" t="s">
        <v>44</v>
      </c>
      <c r="C210" s="87" t="s">
        <v>159</v>
      </c>
      <c r="D210" s="89">
        <v>42737</v>
      </c>
      <c r="E210" s="89"/>
      <c r="F210" s="89"/>
      <c r="G210" s="87" t="str">
        <f t="shared" si="3"/>
        <v>113110103'= VIAGENS - ADIANTAMENTO09860243760</v>
      </c>
      <c r="H210" s="87" t="str">
        <f>VLOOKUP(Tabela1[[#This Row],[CONCATENAR]],'Classificações - Demonstrações'!$A$5:$C$46003,2,)</f>
        <v>Outros Créditos</v>
      </c>
      <c r="I210" s="87"/>
    </row>
    <row r="211" spans="1:9" ht="12.75" customHeight="1" x14ac:dyDescent="0.2">
      <c r="A211" s="94" t="s">
        <v>5269</v>
      </c>
      <c r="B211" s="87" t="s">
        <v>44</v>
      </c>
      <c r="C211" s="87" t="s">
        <v>5994</v>
      </c>
      <c r="D211" s="89">
        <v>4007.5</v>
      </c>
      <c r="E211" s="88"/>
      <c r="F211" s="88"/>
      <c r="G211" s="87" t="str">
        <f t="shared" si="3"/>
        <v>113110103'= VIAGENS - ADIANTAMENTO09879898710</v>
      </c>
      <c r="H211" s="87" t="str">
        <f>VLOOKUP(Tabela1[[#This Row],[CONCATENAR]],'Classificações - Demonstrações'!$A$5:$C$46003,2,)</f>
        <v>Outros Créditos</v>
      </c>
      <c r="I211" s="87"/>
    </row>
    <row r="212" spans="1:9" ht="12.75" customHeight="1" x14ac:dyDescent="0.2">
      <c r="A212" s="94" t="s">
        <v>5269</v>
      </c>
      <c r="B212" s="87" t="s">
        <v>44</v>
      </c>
      <c r="C212" s="87" t="s">
        <v>160</v>
      </c>
      <c r="D212" s="89">
        <v>1413</v>
      </c>
      <c r="E212" s="89"/>
      <c r="F212" s="89"/>
      <c r="G212" s="87" t="str">
        <f t="shared" si="3"/>
        <v>113110103'= VIAGENS - ADIANTAMENTO09905589759</v>
      </c>
      <c r="H212" s="87" t="str">
        <f>VLOOKUP(Tabela1[[#This Row],[CONCATENAR]],'Classificações - Demonstrações'!$A$5:$C$46003,2,)</f>
        <v>Outros Créditos</v>
      </c>
      <c r="I212" s="87"/>
    </row>
    <row r="213" spans="1:9" ht="12.75" customHeight="1" x14ac:dyDescent="0.2">
      <c r="A213" s="94" t="s">
        <v>5269</v>
      </c>
      <c r="B213" s="87" t="s">
        <v>44</v>
      </c>
      <c r="C213" s="87" t="s">
        <v>4614</v>
      </c>
      <c r="D213" s="88">
        <v>12881</v>
      </c>
      <c r="E213" s="89"/>
      <c r="F213" s="89"/>
      <c r="G213" s="87" t="str">
        <f t="shared" si="3"/>
        <v>113110103'= VIAGENS - ADIANTAMENTO10001335758</v>
      </c>
      <c r="H213" s="87" t="str">
        <f>VLOOKUP(Tabela1[[#This Row],[CONCATENAR]],'Classificações - Demonstrações'!$A$5:$C$46003,2,)</f>
        <v>Outros Créditos</v>
      </c>
      <c r="I213" s="87"/>
    </row>
    <row r="214" spans="1:9" ht="12.75" customHeight="1" x14ac:dyDescent="0.2">
      <c r="A214" s="94" t="s">
        <v>5269</v>
      </c>
      <c r="B214" s="87" t="s">
        <v>44</v>
      </c>
      <c r="C214" s="87" t="s">
        <v>161</v>
      </c>
      <c r="D214" s="89">
        <v>46358</v>
      </c>
      <c r="E214" s="89"/>
      <c r="F214" s="89"/>
      <c r="G214" s="87" t="str">
        <f t="shared" si="3"/>
        <v>113110103'= VIAGENS - ADIANTAMENTO10029617774</v>
      </c>
      <c r="H214" s="87" t="str">
        <f>VLOOKUP(Tabela1[[#This Row],[CONCATENAR]],'Classificações - Demonstrações'!$A$5:$C$46003,2,)</f>
        <v>Outros Créditos</v>
      </c>
      <c r="I214" s="87"/>
    </row>
    <row r="215" spans="1:9" ht="12.75" customHeight="1" x14ac:dyDescent="0.2">
      <c r="A215" s="94" t="s">
        <v>5269</v>
      </c>
      <c r="B215" s="87" t="s">
        <v>44</v>
      </c>
      <c r="C215" s="87" t="s">
        <v>4615</v>
      </c>
      <c r="D215" s="89">
        <v>22197.5</v>
      </c>
      <c r="E215" s="88"/>
      <c r="F215" s="88"/>
      <c r="G215" s="87" t="str">
        <f t="shared" si="3"/>
        <v>113110103'= VIAGENS - ADIANTAMENTO10037056778</v>
      </c>
      <c r="H215" s="87" t="str">
        <f>VLOOKUP(Tabela1[[#This Row],[CONCATENAR]],'Classificações - Demonstrações'!$A$5:$C$46003,2,)</f>
        <v>Outros Créditos</v>
      </c>
      <c r="I215" s="87"/>
    </row>
    <row r="216" spans="1:9" ht="12.75" customHeight="1" x14ac:dyDescent="0.2">
      <c r="A216" s="94" t="s">
        <v>5269</v>
      </c>
      <c r="B216" s="87" t="s">
        <v>44</v>
      </c>
      <c r="C216" s="87" t="s">
        <v>162</v>
      </c>
      <c r="D216" s="89">
        <v>7257</v>
      </c>
      <c r="E216" s="89"/>
      <c r="F216" s="89"/>
      <c r="G216" s="87" t="str">
        <f t="shared" si="3"/>
        <v>113110103'= VIAGENS - ADIANTAMENTO10104989750</v>
      </c>
      <c r="H216" s="87" t="str">
        <f>VLOOKUP(Tabela1[[#This Row],[CONCATENAR]],'Classificações - Demonstrações'!$A$5:$C$46003,2,)</f>
        <v>Outros Créditos</v>
      </c>
      <c r="I216" s="87"/>
    </row>
    <row r="217" spans="1:9" ht="12.75" customHeight="1" x14ac:dyDescent="0.2">
      <c r="A217" s="94" t="s">
        <v>5269</v>
      </c>
      <c r="B217" s="87" t="s">
        <v>44</v>
      </c>
      <c r="C217" s="87" t="s">
        <v>4748</v>
      </c>
      <c r="D217" s="89">
        <v>1300</v>
      </c>
      <c r="E217" s="89"/>
      <c r="F217" s="89"/>
      <c r="G217" s="87" t="str">
        <f t="shared" si="3"/>
        <v>113110103'= VIAGENS - ADIANTAMENTO10125054726</v>
      </c>
      <c r="H217" s="87" t="str">
        <f>VLOOKUP(Tabela1[[#This Row],[CONCATENAR]],'Classificações - Demonstrações'!$A$5:$C$46003,2,)</f>
        <v>Outros Créditos</v>
      </c>
      <c r="I217" s="87"/>
    </row>
    <row r="218" spans="1:9" ht="12.75" customHeight="1" x14ac:dyDescent="0.2">
      <c r="A218" s="94" t="s">
        <v>5269</v>
      </c>
      <c r="B218" s="87" t="s">
        <v>44</v>
      </c>
      <c r="C218" s="87" t="s">
        <v>163</v>
      </c>
      <c r="D218" s="89">
        <v>11706.4</v>
      </c>
      <c r="E218" s="88"/>
      <c r="F218" s="88"/>
      <c r="G218" s="87" t="str">
        <f t="shared" si="3"/>
        <v>113110103'= VIAGENS - ADIANTAMENTO10238278751</v>
      </c>
      <c r="H218" s="87" t="str">
        <f>VLOOKUP(Tabela1[[#This Row],[CONCATENAR]],'Classificações - Demonstrações'!$A$5:$C$46003,2,)</f>
        <v>Outros Créditos</v>
      </c>
      <c r="I218" s="87"/>
    </row>
    <row r="219" spans="1:9" ht="12.75" customHeight="1" x14ac:dyDescent="0.2">
      <c r="A219" s="94" t="s">
        <v>5269</v>
      </c>
      <c r="B219" s="87" t="s">
        <v>44</v>
      </c>
      <c r="C219" s="87" t="s">
        <v>5554</v>
      </c>
      <c r="D219" s="89">
        <v>22805.5</v>
      </c>
      <c r="E219" s="89"/>
      <c r="F219" s="89"/>
      <c r="G219" s="87" t="str">
        <f t="shared" si="3"/>
        <v>113110103'= VIAGENS - ADIANTAMENTO10486031721</v>
      </c>
      <c r="H219" s="87" t="str">
        <f>VLOOKUP(Tabela1[[#This Row],[CONCATENAR]],'Classificações - Demonstrações'!$A$5:$C$46003,2,)</f>
        <v>Outros Créditos</v>
      </c>
      <c r="I219" s="87"/>
    </row>
    <row r="220" spans="1:9" ht="12.75" customHeight="1" x14ac:dyDescent="0.2">
      <c r="A220" s="94" t="s">
        <v>5269</v>
      </c>
      <c r="B220" s="87" t="s">
        <v>44</v>
      </c>
      <c r="C220" s="87" t="s">
        <v>164</v>
      </c>
      <c r="D220" s="89">
        <v>34649.5</v>
      </c>
      <c r="E220" s="89"/>
      <c r="F220" s="89"/>
      <c r="G220" s="87" t="str">
        <f t="shared" si="3"/>
        <v>113110103'= VIAGENS - ADIANTAMENTO10505533731</v>
      </c>
      <c r="H220" s="87" t="str">
        <f>VLOOKUP(Tabela1[[#This Row],[CONCATENAR]],'Classificações - Demonstrações'!$A$5:$C$46003,2,)</f>
        <v>Outros Créditos</v>
      </c>
      <c r="I220" s="87"/>
    </row>
    <row r="221" spans="1:9" ht="12.75" customHeight="1" x14ac:dyDescent="0.2">
      <c r="A221" s="94" t="s">
        <v>5269</v>
      </c>
      <c r="B221" s="87" t="s">
        <v>44</v>
      </c>
      <c r="C221" s="87" t="s">
        <v>165</v>
      </c>
      <c r="D221" s="89">
        <v>599</v>
      </c>
      <c r="E221" s="89"/>
      <c r="F221" s="89"/>
      <c r="G221" s="87" t="str">
        <f t="shared" si="3"/>
        <v>113110103'= VIAGENS - ADIANTAMENTO10544676769</v>
      </c>
      <c r="H221" s="87" t="str">
        <f>VLOOKUP(Tabela1[[#This Row],[CONCATENAR]],'Classificações - Demonstrações'!$A$5:$C$46003,2,)</f>
        <v>Outros Créditos</v>
      </c>
      <c r="I221" s="87"/>
    </row>
    <row r="222" spans="1:9" ht="12.75" customHeight="1" x14ac:dyDescent="0.2">
      <c r="A222" s="94" t="s">
        <v>5269</v>
      </c>
      <c r="B222" s="87" t="s">
        <v>44</v>
      </c>
      <c r="C222" s="87" t="s">
        <v>166</v>
      </c>
      <c r="D222" s="89">
        <v>5848</v>
      </c>
      <c r="E222" s="89"/>
      <c r="F222" s="89"/>
      <c r="G222" s="87" t="str">
        <f t="shared" si="3"/>
        <v>113110103'= VIAGENS - ADIANTAMENTO10578800780</v>
      </c>
      <c r="H222" s="87" t="str">
        <f>VLOOKUP(Tabela1[[#This Row],[CONCATENAR]],'Classificações - Demonstrações'!$A$5:$C$46003,2,)</f>
        <v>Outros Créditos</v>
      </c>
      <c r="I222" s="87"/>
    </row>
    <row r="223" spans="1:9" ht="12.75" customHeight="1" x14ac:dyDescent="0.2">
      <c r="A223" s="94" t="s">
        <v>5269</v>
      </c>
      <c r="B223" s="87" t="s">
        <v>44</v>
      </c>
      <c r="C223" s="87" t="s">
        <v>5995</v>
      </c>
      <c r="D223" s="89">
        <v>12712</v>
      </c>
      <c r="E223" s="88"/>
      <c r="F223" s="88"/>
      <c r="G223" s="87" t="str">
        <f t="shared" si="3"/>
        <v>113110103'= VIAGENS - ADIANTAMENTO10601806778</v>
      </c>
      <c r="H223" s="87" t="str">
        <f>VLOOKUP(Tabela1[[#This Row],[CONCATENAR]],'Classificações - Demonstrações'!$A$5:$C$46003,2,)</f>
        <v>Outros Créditos</v>
      </c>
      <c r="I223" s="87"/>
    </row>
    <row r="224" spans="1:9" ht="12.75" customHeight="1" x14ac:dyDescent="0.2">
      <c r="A224" s="94" t="s">
        <v>5269</v>
      </c>
      <c r="B224" s="87" t="s">
        <v>44</v>
      </c>
      <c r="C224" s="87" t="s">
        <v>167</v>
      </c>
      <c r="D224" s="89">
        <v>32178</v>
      </c>
      <c r="E224" s="89"/>
      <c r="F224" s="89"/>
      <c r="G224" s="87" t="str">
        <f t="shared" si="3"/>
        <v>113110103'= VIAGENS - ADIANTAMENTO10613752775</v>
      </c>
      <c r="H224" s="87" t="str">
        <f>VLOOKUP(Tabela1[[#This Row],[CONCATENAR]],'Classificações - Demonstrações'!$A$5:$C$46003,2,)</f>
        <v>Outros Créditos</v>
      </c>
      <c r="I224" s="87"/>
    </row>
    <row r="225" spans="1:9" ht="12.75" customHeight="1" x14ac:dyDescent="0.2">
      <c r="A225" s="94" t="s">
        <v>5269</v>
      </c>
      <c r="B225" s="87" t="s">
        <v>44</v>
      </c>
      <c r="C225" s="87" t="s">
        <v>5028</v>
      </c>
      <c r="D225" s="89">
        <v>1605</v>
      </c>
      <c r="E225" s="88"/>
      <c r="F225" s="88"/>
      <c r="G225" s="87" t="str">
        <f t="shared" si="3"/>
        <v>113110103'= VIAGENS - ADIANTAMENTO10648769780</v>
      </c>
      <c r="H225" s="87" t="str">
        <f>VLOOKUP(Tabela1[[#This Row],[CONCATENAR]],'Classificações - Demonstrações'!$A$5:$C$46003,2,)</f>
        <v>Outros Créditos</v>
      </c>
      <c r="I225" s="87"/>
    </row>
    <row r="226" spans="1:9" ht="12.75" customHeight="1" x14ac:dyDescent="0.2">
      <c r="A226" s="94" t="s">
        <v>5269</v>
      </c>
      <c r="B226" s="87" t="s">
        <v>44</v>
      </c>
      <c r="C226" s="87" t="s">
        <v>168</v>
      </c>
      <c r="D226" s="89">
        <v>27925</v>
      </c>
      <c r="E226" s="89"/>
      <c r="F226" s="89"/>
      <c r="G226" s="87" t="str">
        <f t="shared" si="3"/>
        <v>113110103'= VIAGENS - ADIANTAMENTO10678049785</v>
      </c>
      <c r="H226" s="87" t="str">
        <f>VLOOKUP(Tabela1[[#This Row],[CONCATENAR]],'Classificações - Demonstrações'!$A$5:$C$46003,2,)</f>
        <v>Outros Créditos</v>
      </c>
      <c r="I226" s="87"/>
    </row>
    <row r="227" spans="1:9" ht="12.75" customHeight="1" x14ac:dyDescent="0.2">
      <c r="A227" s="94" t="s">
        <v>5269</v>
      </c>
      <c r="B227" s="87" t="s">
        <v>44</v>
      </c>
      <c r="C227" s="87" t="s">
        <v>169</v>
      </c>
      <c r="D227" s="89">
        <v>45242</v>
      </c>
      <c r="E227" s="89"/>
      <c r="F227" s="89"/>
      <c r="G227" s="87" t="str">
        <f t="shared" si="3"/>
        <v>113110103'= VIAGENS - ADIANTAMENTO10748275703</v>
      </c>
      <c r="H227" s="87" t="str">
        <f>VLOOKUP(Tabela1[[#This Row],[CONCATENAR]],'Classificações - Demonstrações'!$A$5:$C$46003,2,)</f>
        <v>Outros Créditos</v>
      </c>
      <c r="I227" s="87"/>
    </row>
    <row r="228" spans="1:9" ht="12.75" customHeight="1" x14ac:dyDescent="0.2">
      <c r="A228" s="94" t="s">
        <v>5269</v>
      </c>
      <c r="B228" s="87" t="s">
        <v>44</v>
      </c>
      <c r="C228" s="87" t="s">
        <v>4749</v>
      </c>
      <c r="D228" s="89">
        <v>8790</v>
      </c>
      <c r="E228" s="88"/>
      <c r="F228" s="88"/>
      <c r="G228" s="87" t="str">
        <f t="shared" si="3"/>
        <v>113110103'= VIAGENS - ADIANTAMENTO10761818723</v>
      </c>
      <c r="H228" s="87" t="str">
        <f>VLOOKUP(Tabela1[[#This Row],[CONCATENAR]],'Classificações - Demonstrações'!$A$5:$C$46003,2,)</f>
        <v>Outros Créditos</v>
      </c>
      <c r="I228" s="87"/>
    </row>
    <row r="229" spans="1:9" ht="12.75" customHeight="1" x14ac:dyDescent="0.2">
      <c r="A229" s="94" t="s">
        <v>5269</v>
      </c>
      <c r="B229" s="87" t="s">
        <v>44</v>
      </c>
      <c r="C229" s="87" t="s">
        <v>170</v>
      </c>
      <c r="D229" s="89">
        <v>692</v>
      </c>
      <c r="E229" s="89"/>
      <c r="F229" s="89"/>
      <c r="G229" s="87" t="str">
        <f t="shared" si="3"/>
        <v>113110103'= VIAGENS - ADIANTAMENTO10913562700</v>
      </c>
      <c r="H229" s="87" t="str">
        <f>VLOOKUP(Tabela1[[#This Row],[CONCATENAR]],'Classificações - Demonstrações'!$A$5:$C$46003,2,)</f>
        <v>Outros Créditos</v>
      </c>
      <c r="I229" s="87"/>
    </row>
    <row r="230" spans="1:9" ht="12.75" customHeight="1" x14ac:dyDescent="0.2">
      <c r="A230" s="94" t="s">
        <v>5269</v>
      </c>
      <c r="B230" s="87" t="s">
        <v>44</v>
      </c>
      <c r="C230" s="87" t="s">
        <v>5134</v>
      </c>
      <c r="D230" s="89">
        <v>5608</v>
      </c>
      <c r="E230" s="89"/>
      <c r="F230" s="89"/>
      <c r="G230" s="87" t="str">
        <f t="shared" si="3"/>
        <v>113110103'= VIAGENS - ADIANTAMENTO10930568788</v>
      </c>
      <c r="H230" s="87" t="str">
        <f>VLOOKUP(Tabela1[[#This Row],[CONCATENAR]],'Classificações - Demonstrações'!$A$5:$C$46003,2,)</f>
        <v>Outros Créditos</v>
      </c>
      <c r="I230" s="87"/>
    </row>
    <row r="231" spans="1:9" ht="12.75" customHeight="1" x14ac:dyDescent="0.2">
      <c r="A231" s="94" t="s">
        <v>5269</v>
      </c>
      <c r="B231" s="87" t="s">
        <v>44</v>
      </c>
      <c r="C231" s="87" t="s">
        <v>5996</v>
      </c>
      <c r="D231" s="89">
        <v>128</v>
      </c>
      <c r="E231" s="89"/>
      <c r="F231" s="89"/>
      <c r="G231" s="87" t="str">
        <f t="shared" si="3"/>
        <v>113110103'= VIAGENS - ADIANTAMENTO10931154758</v>
      </c>
      <c r="H231" s="87" t="str">
        <f>VLOOKUP(Tabela1[[#This Row],[CONCATENAR]],'Classificações - Demonstrações'!$A$5:$C$46003,2,)</f>
        <v>Outros Créditos</v>
      </c>
      <c r="I231" s="87"/>
    </row>
    <row r="232" spans="1:9" ht="12.75" customHeight="1" x14ac:dyDescent="0.2">
      <c r="A232" s="94" t="s">
        <v>5269</v>
      </c>
      <c r="B232" s="87" t="s">
        <v>44</v>
      </c>
      <c r="C232" s="87" t="s">
        <v>171</v>
      </c>
      <c r="D232" s="89">
        <v>25322</v>
      </c>
      <c r="E232" s="89"/>
      <c r="F232" s="89"/>
      <c r="G232" s="87" t="str">
        <f t="shared" si="3"/>
        <v>113110103'= VIAGENS - ADIANTAMENTO10946153744</v>
      </c>
      <c r="H232" s="87" t="str">
        <f>VLOOKUP(Tabela1[[#This Row],[CONCATENAR]],'Classificações - Demonstrações'!$A$5:$C$46003,2,)</f>
        <v>Outros Créditos</v>
      </c>
      <c r="I232" s="87"/>
    </row>
    <row r="233" spans="1:9" ht="12.75" customHeight="1" x14ac:dyDescent="0.2">
      <c r="A233" s="94" t="s">
        <v>5269</v>
      </c>
      <c r="B233" s="87" t="s">
        <v>44</v>
      </c>
      <c r="C233" s="87" t="s">
        <v>172</v>
      </c>
      <c r="D233" s="89">
        <v>2616</v>
      </c>
      <c r="E233" s="89"/>
      <c r="F233" s="89"/>
      <c r="G233" s="87" t="str">
        <f t="shared" si="3"/>
        <v>113110103'= VIAGENS - ADIANTAMENTO10949347710</v>
      </c>
      <c r="H233" s="87" t="str">
        <f>VLOOKUP(Tabela1[[#This Row],[CONCATENAR]],'Classificações - Demonstrações'!$A$5:$C$46003,2,)</f>
        <v>Outros Créditos</v>
      </c>
      <c r="I233" s="87"/>
    </row>
    <row r="234" spans="1:9" ht="12.75" customHeight="1" x14ac:dyDescent="0.2">
      <c r="A234" s="94" t="s">
        <v>5269</v>
      </c>
      <c r="B234" s="87" t="s">
        <v>44</v>
      </c>
      <c r="C234" s="87" t="s">
        <v>173</v>
      </c>
      <c r="D234" s="89">
        <v>22056</v>
      </c>
      <c r="E234" s="88"/>
      <c r="F234" s="88"/>
      <c r="G234" s="87" t="str">
        <f t="shared" si="3"/>
        <v>113110103'= VIAGENS - ADIANTAMENTO10980620783</v>
      </c>
      <c r="H234" s="87" t="str">
        <f>VLOOKUP(Tabela1[[#This Row],[CONCATENAR]],'Classificações - Demonstrações'!$A$5:$C$46003,2,)</f>
        <v>Outros Créditos</v>
      </c>
      <c r="I234" s="87"/>
    </row>
    <row r="235" spans="1:9" ht="12.75" customHeight="1" x14ac:dyDescent="0.2">
      <c r="A235" s="94" t="s">
        <v>5269</v>
      </c>
      <c r="B235" s="87" t="s">
        <v>44</v>
      </c>
      <c r="C235" s="87" t="s">
        <v>174</v>
      </c>
      <c r="D235" s="89">
        <v>8623</v>
      </c>
      <c r="E235" s="89"/>
      <c r="F235" s="89"/>
      <c r="G235" s="87" t="str">
        <f t="shared" si="3"/>
        <v>113110103'= VIAGENS - ADIANTAMENTO10986762709</v>
      </c>
      <c r="H235" s="87" t="str">
        <f>VLOOKUP(Tabela1[[#This Row],[CONCATENAR]],'Classificações - Demonstrações'!$A$5:$C$46003,2,)</f>
        <v>Outros Créditos</v>
      </c>
      <c r="I235" s="87"/>
    </row>
    <row r="236" spans="1:9" ht="12.75" customHeight="1" x14ac:dyDescent="0.2">
      <c r="A236" s="94" t="s">
        <v>5269</v>
      </c>
      <c r="B236" s="87" t="s">
        <v>44</v>
      </c>
      <c r="C236" s="87" t="s">
        <v>4750</v>
      </c>
      <c r="D236" s="89">
        <v>3432</v>
      </c>
      <c r="E236" s="89"/>
      <c r="F236" s="89"/>
      <c r="G236" s="87" t="str">
        <f t="shared" si="3"/>
        <v>113110103'= VIAGENS - ADIANTAMENTO10986852708</v>
      </c>
      <c r="H236" s="87" t="str">
        <f>VLOOKUP(Tabela1[[#This Row],[CONCATENAR]],'Classificações - Demonstrações'!$A$5:$C$46003,2,)</f>
        <v>Outros Créditos</v>
      </c>
      <c r="I236" s="87"/>
    </row>
    <row r="237" spans="1:9" ht="12.75" customHeight="1" x14ac:dyDescent="0.2">
      <c r="A237" s="94" t="s">
        <v>5269</v>
      </c>
      <c r="B237" s="87" t="s">
        <v>44</v>
      </c>
      <c r="C237" s="87" t="s">
        <v>175</v>
      </c>
      <c r="D237" s="89">
        <v>547</v>
      </c>
      <c r="E237" s="89"/>
      <c r="F237" s="89"/>
      <c r="G237" s="87" t="str">
        <f t="shared" si="3"/>
        <v>113110103'= VIAGENS - ADIANTAMENTO11026627710</v>
      </c>
      <c r="H237" s="87" t="str">
        <f>VLOOKUP(Tabela1[[#This Row],[CONCATENAR]],'Classificações - Demonstrações'!$A$5:$C$46003,2,)</f>
        <v>Outros Créditos</v>
      </c>
      <c r="I237" s="87"/>
    </row>
    <row r="238" spans="1:9" ht="12.75" customHeight="1" x14ac:dyDescent="0.2">
      <c r="A238" s="94" t="s">
        <v>5269</v>
      </c>
      <c r="B238" s="87" t="s">
        <v>44</v>
      </c>
      <c r="C238" s="87" t="s">
        <v>176</v>
      </c>
      <c r="D238" s="89">
        <v>18667.5</v>
      </c>
      <c r="E238" s="89"/>
      <c r="F238" s="89"/>
      <c r="G238" s="87" t="str">
        <f t="shared" si="3"/>
        <v>113110103'= VIAGENS - ADIANTAMENTO11036758770</v>
      </c>
      <c r="H238" s="87" t="str">
        <f>VLOOKUP(Tabela1[[#This Row],[CONCATENAR]],'Classificações - Demonstrações'!$A$5:$C$46003,2,)</f>
        <v>Outros Créditos</v>
      </c>
      <c r="I238" s="87"/>
    </row>
    <row r="239" spans="1:9" ht="12.75" customHeight="1" x14ac:dyDescent="0.2">
      <c r="A239" s="94" t="s">
        <v>5269</v>
      </c>
      <c r="B239" s="87" t="s">
        <v>44</v>
      </c>
      <c r="C239" s="87" t="s">
        <v>4533</v>
      </c>
      <c r="D239" s="89">
        <v>23215.5</v>
      </c>
      <c r="E239" s="89"/>
      <c r="F239" s="89"/>
      <c r="G239" s="87" t="str">
        <f t="shared" si="3"/>
        <v>113110103'= VIAGENS - ADIANTAMENTO11037627709</v>
      </c>
      <c r="H239" s="87" t="str">
        <f>VLOOKUP(Tabela1[[#This Row],[CONCATENAR]],'Classificações - Demonstrações'!$A$5:$C$46003,2,)</f>
        <v>Outros Créditos</v>
      </c>
      <c r="I239" s="87"/>
    </row>
    <row r="240" spans="1:9" ht="12.75" customHeight="1" x14ac:dyDescent="0.2">
      <c r="A240" s="94" t="s">
        <v>5269</v>
      </c>
      <c r="B240" s="87" t="s">
        <v>44</v>
      </c>
      <c r="C240" s="87" t="s">
        <v>177</v>
      </c>
      <c r="D240" s="89">
        <v>1700</v>
      </c>
      <c r="E240" s="88"/>
      <c r="F240" s="88"/>
      <c r="G240" s="87" t="str">
        <f t="shared" si="3"/>
        <v>113110103'= VIAGENS - ADIANTAMENTO11069612774</v>
      </c>
      <c r="H240" s="87" t="str">
        <f>VLOOKUP(Tabela1[[#This Row],[CONCATENAR]],'Classificações - Demonstrações'!$A$5:$C$46003,2,)</f>
        <v>Outros Créditos</v>
      </c>
      <c r="I240" s="87"/>
    </row>
    <row r="241" spans="1:9" ht="12.75" customHeight="1" x14ac:dyDescent="0.2">
      <c r="A241" s="94" t="s">
        <v>5269</v>
      </c>
      <c r="B241" s="87" t="s">
        <v>44</v>
      </c>
      <c r="C241" s="87" t="s">
        <v>178</v>
      </c>
      <c r="D241" s="89">
        <v>3247</v>
      </c>
      <c r="E241" s="89"/>
      <c r="F241" s="89"/>
      <c r="G241" s="87" t="str">
        <f t="shared" si="3"/>
        <v>113110103'= VIAGENS - ADIANTAMENTO11088864775</v>
      </c>
      <c r="H241" s="87" t="str">
        <f>VLOOKUP(Tabela1[[#This Row],[CONCATENAR]],'Classificações - Demonstrações'!$A$5:$C$46003,2,)</f>
        <v>Outros Créditos</v>
      </c>
      <c r="I241" s="87"/>
    </row>
    <row r="242" spans="1:9" ht="12.75" customHeight="1" x14ac:dyDescent="0.2">
      <c r="A242" s="94" t="s">
        <v>5269</v>
      </c>
      <c r="B242" s="87" t="s">
        <v>44</v>
      </c>
      <c r="C242" s="87" t="s">
        <v>179</v>
      </c>
      <c r="D242" s="89">
        <v>8497.98</v>
      </c>
      <c r="E242" s="88"/>
      <c r="F242" s="88"/>
      <c r="G242" s="87" t="str">
        <f t="shared" si="3"/>
        <v>113110103'= VIAGENS - ADIANTAMENTO11093884703</v>
      </c>
      <c r="H242" s="87" t="str">
        <f>VLOOKUP(Tabela1[[#This Row],[CONCATENAR]],'Classificações - Demonstrações'!$A$5:$C$46003,2,)</f>
        <v>Outros Créditos</v>
      </c>
      <c r="I242" s="87"/>
    </row>
    <row r="243" spans="1:9" ht="12.75" customHeight="1" x14ac:dyDescent="0.2">
      <c r="A243" s="94" t="s">
        <v>5269</v>
      </c>
      <c r="B243" s="87" t="s">
        <v>44</v>
      </c>
      <c r="C243" s="87" t="s">
        <v>4751</v>
      </c>
      <c r="D243" s="89">
        <v>2624</v>
      </c>
      <c r="E243" s="89"/>
      <c r="F243" s="89"/>
      <c r="G243" s="87" t="str">
        <f t="shared" si="3"/>
        <v>113110103'= VIAGENS - ADIANTAMENTO11100014799</v>
      </c>
      <c r="H243" s="87" t="str">
        <f>VLOOKUP(Tabela1[[#This Row],[CONCATENAR]],'Classificações - Demonstrações'!$A$5:$C$46003,2,)</f>
        <v>Outros Créditos</v>
      </c>
      <c r="I243" s="87"/>
    </row>
    <row r="244" spans="1:9" ht="12.75" customHeight="1" x14ac:dyDescent="0.2">
      <c r="A244" s="94" t="s">
        <v>5269</v>
      </c>
      <c r="B244" s="87" t="s">
        <v>44</v>
      </c>
      <c r="C244" s="87" t="s">
        <v>5555</v>
      </c>
      <c r="D244" s="89">
        <v>192</v>
      </c>
      <c r="E244" s="89"/>
      <c r="F244" s="89"/>
      <c r="G244" s="87" t="str">
        <f t="shared" si="3"/>
        <v>113110103'= VIAGENS - ADIANTAMENTO11103362763</v>
      </c>
      <c r="H244" s="87" t="str">
        <f>VLOOKUP(Tabela1[[#This Row],[CONCATENAR]],'Classificações - Demonstrações'!$A$5:$C$46003,2,)</f>
        <v>Outros Créditos</v>
      </c>
      <c r="I244" s="87"/>
    </row>
    <row r="245" spans="1:9" ht="12.75" customHeight="1" x14ac:dyDescent="0.2">
      <c r="A245" s="94" t="s">
        <v>5269</v>
      </c>
      <c r="B245" s="87" t="s">
        <v>44</v>
      </c>
      <c r="C245" s="87" t="s">
        <v>180</v>
      </c>
      <c r="D245" s="89">
        <v>48377.5</v>
      </c>
      <c r="E245" s="89"/>
      <c r="F245" s="89"/>
      <c r="G245" s="87" t="str">
        <f t="shared" si="3"/>
        <v>113110103'= VIAGENS - ADIANTAMENTO11103375741</v>
      </c>
      <c r="H245" s="87" t="str">
        <f>VLOOKUP(Tabela1[[#This Row],[CONCATENAR]],'Classificações - Demonstrações'!$A$5:$C$46003,2,)</f>
        <v>Outros Créditos</v>
      </c>
      <c r="I245" s="87"/>
    </row>
    <row r="246" spans="1:9" ht="12.75" customHeight="1" x14ac:dyDescent="0.2">
      <c r="A246" s="94" t="s">
        <v>5269</v>
      </c>
      <c r="B246" s="87" t="s">
        <v>44</v>
      </c>
      <c r="C246" s="87" t="s">
        <v>181</v>
      </c>
      <c r="D246" s="89">
        <v>36868.5</v>
      </c>
      <c r="E246" s="89"/>
      <c r="F246" s="89"/>
      <c r="G246" s="87" t="str">
        <f t="shared" si="3"/>
        <v>113110103'= VIAGENS - ADIANTAMENTO11103390708</v>
      </c>
      <c r="H246" s="87" t="str">
        <f>VLOOKUP(Tabela1[[#This Row],[CONCATENAR]],'Classificações - Demonstrações'!$A$5:$C$46003,2,)</f>
        <v>Outros Créditos</v>
      </c>
      <c r="I246" s="87"/>
    </row>
    <row r="247" spans="1:9" ht="12.75" customHeight="1" x14ac:dyDescent="0.2">
      <c r="A247" s="94" t="s">
        <v>5269</v>
      </c>
      <c r="B247" s="87" t="s">
        <v>44</v>
      </c>
      <c r="C247" s="87" t="s">
        <v>5135</v>
      </c>
      <c r="D247" s="89">
        <v>456</v>
      </c>
      <c r="E247" s="89"/>
      <c r="F247" s="89"/>
      <c r="G247" s="87" t="str">
        <f t="shared" si="3"/>
        <v>113110103'= VIAGENS - ADIANTAMENTO11103413775</v>
      </c>
      <c r="H247" s="87" t="str">
        <f>VLOOKUP(Tabela1[[#This Row],[CONCATENAR]],'Classificações - Demonstrações'!$A$5:$C$46003,2,)</f>
        <v>Outros Créditos</v>
      </c>
      <c r="I247" s="87"/>
    </row>
    <row r="248" spans="1:9" ht="12.75" customHeight="1" x14ac:dyDescent="0.2">
      <c r="A248" s="94" t="s">
        <v>5269</v>
      </c>
      <c r="B248" s="87" t="s">
        <v>44</v>
      </c>
      <c r="C248" s="87" t="s">
        <v>182</v>
      </c>
      <c r="D248" s="89">
        <v>4317</v>
      </c>
      <c r="E248" s="89"/>
      <c r="F248" s="89"/>
      <c r="G248" s="87" t="str">
        <f t="shared" si="3"/>
        <v>113110103'= VIAGENS - ADIANTAMENTO11103478710</v>
      </c>
      <c r="H248" s="87" t="str">
        <f>VLOOKUP(Tabela1[[#This Row],[CONCATENAR]],'Classificações - Demonstrações'!$A$5:$C$46003,2,)</f>
        <v>Outros Créditos</v>
      </c>
      <c r="I248" s="87"/>
    </row>
    <row r="249" spans="1:9" ht="12.75" customHeight="1" x14ac:dyDescent="0.2">
      <c r="A249" s="94" t="s">
        <v>5269</v>
      </c>
      <c r="B249" s="87" t="s">
        <v>44</v>
      </c>
      <c r="C249" s="87" t="s">
        <v>183</v>
      </c>
      <c r="D249" s="89">
        <v>39268</v>
      </c>
      <c r="E249" s="89"/>
      <c r="F249" s="89"/>
      <c r="G249" s="87" t="str">
        <f t="shared" si="3"/>
        <v>113110103'= VIAGENS - ADIANTAMENTO11106048741</v>
      </c>
      <c r="H249" s="87" t="str">
        <f>VLOOKUP(Tabela1[[#This Row],[CONCATENAR]],'Classificações - Demonstrações'!$A$5:$C$46003,2,)</f>
        <v>Outros Créditos</v>
      </c>
      <c r="I249" s="87"/>
    </row>
    <row r="250" spans="1:9" ht="12.75" customHeight="1" x14ac:dyDescent="0.2">
      <c r="A250" s="94" t="s">
        <v>5269</v>
      </c>
      <c r="B250" s="87" t="s">
        <v>44</v>
      </c>
      <c r="C250" s="87" t="s">
        <v>184</v>
      </c>
      <c r="D250" s="89">
        <v>28190.5</v>
      </c>
      <c r="E250" s="89"/>
      <c r="F250" s="89"/>
      <c r="G250" s="87" t="str">
        <f t="shared" si="3"/>
        <v>113110103'= VIAGENS - ADIANTAMENTO11146789700</v>
      </c>
      <c r="H250" s="87" t="str">
        <f>VLOOKUP(Tabela1[[#This Row],[CONCATENAR]],'Classificações - Demonstrações'!$A$5:$C$46003,2,)</f>
        <v>Outros Créditos</v>
      </c>
      <c r="I250" s="87"/>
    </row>
    <row r="251" spans="1:9" ht="12.75" customHeight="1" x14ac:dyDescent="0.2">
      <c r="A251" s="94" t="s">
        <v>5269</v>
      </c>
      <c r="B251" s="87" t="s">
        <v>44</v>
      </c>
      <c r="C251" s="87" t="s">
        <v>185</v>
      </c>
      <c r="D251" s="89">
        <v>10023</v>
      </c>
      <c r="E251" s="88"/>
      <c r="F251" s="88"/>
      <c r="G251" s="87" t="str">
        <f t="shared" si="3"/>
        <v>113110103'= VIAGENS - ADIANTAMENTO11254992731</v>
      </c>
      <c r="H251" s="87" t="str">
        <f>VLOOKUP(Tabela1[[#This Row],[CONCATENAR]],'Classificações - Demonstrações'!$A$5:$C$46003,2,)</f>
        <v>Outros Créditos</v>
      </c>
      <c r="I251" s="87"/>
    </row>
    <row r="252" spans="1:9" ht="12.75" customHeight="1" x14ac:dyDescent="0.2">
      <c r="A252" s="94" t="s">
        <v>5269</v>
      </c>
      <c r="B252" s="87" t="s">
        <v>44</v>
      </c>
      <c r="C252" s="87" t="s">
        <v>5029</v>
      </c>
      <c r="D252" s="89">
        <v>0</v>
      </c>
      <c r="E252" s="88"/>
      <c r="F252" s="88"/>
      <c r="G252" s="87" t="str">
        <f t="shared" si="3"/>
        <v>113110103'= VIAGENS - ADIANTAMENTO11257316729</v>
      </c>
      <c r="H252" s="87" t="str">
        <f>VLOOKUP(Tabela1[[#This Row],[CONCATENAR]],'Classificações - Demonstrações'!$A$5:$C$46003,2,)</f>
        <v>Outros Créditos</v>
      </c>
      <c r="I252" s="87"/>
    </row>
    <row r="253" spans="1:9" ht="12.75" customHeight="1" x14ac:dyDescent="0.2">
      <c r="A253" s="94" t="s">
        <v>5269</v>
      </c>
      <c r="B253" s="87" t="s">
        <v>44</v>
      </c>
      <c r="C253" s="87" t="s">
        <v>186</v>
      </c>
      <c r="D253" s="89">
        <v>55255</v>
      </c>
      <c r="E253" s="89"/>
      <c r="F253" s="89"/>
      <c r="G253" s="87" t="str">
        <f t="shared" si="3"/>
        <v>113110103'= VIAGENS - ADIANTAMENTO11485189756</v>
      </c>
      <c r="H253" s="87" t="str">
        <f>VLOOKUP(Tabela1[[#This Row],[CONCATENAR]],'Classificações - Demonstrações'!$A$5:$C$46003,2,)</f>
        <v>Outros Créditos</v>
      </c>
      <c r="I253" s="87"/>
    </row>
    <row r="254" spans="1:9" ht="12.75" customHeight="1" x14ac:dyDescent="0.2">
      <c r="A254" s="94" t="s">
        <v>5269</v>
      </c>
      <c r="B254" s="87" t="s">
        <v>44</v>
      </c>
      <c r="C254" s="87" t="s">
        <v>187</v>
      </c>
      <c r="D254" s="89">
        <v>26065.5</v>
      </c>
      <c r="E254" s="88"/>
      <c r="F254" s="88"/>
      <c r="G254" s="87" t="str">
        <f t="shared" si="3"/>
        <v>113110103'= VIAGENS - ADIANTAMENTO11496825748</v>
      </c>
      <c r="H254" s="87" t="str">
        <f>VLOOKUP(Tabela1[[#This Row],[CONCATENAR]],'Classificações - Demonstrações'!$A$5:$C$46003,2,)</f>
        <v>Outros Créditos</v>
      </c>
      <c r="I254" s="87"/>
    </row>
    <row r="255" spans="1:9" ht="12.75" customHeight="1" x14ac:dyDescent="0.2">
      <c r="A255" s="94" t="s">
        <v>5269</v>
      </c>
      <c r="B255" s="87" t="s">
        <v>44</v>
      </c>
      <c r="C255" s="87" t="s">
        <v>188</v>
      </c>
      <c r="D255" s="89">
        <v>36759.5</v>
      </c>
      <c r="E255" s="89"/>
      <c r="F255" s="89"/>
      <c r="G255" s="87" t="str">
        <f t="shared" si="3"/>
        <v>113110103'= VIAGENS - ADIANTAMENTO11621224716</v>
      </c>
      <c r="H255" s="87" t="str">
        <f>VLOOKUP(Tabela1[[#This Row],[CONCATENAR]],'Classificações - Demonstrações'!$A$5:$C$46003,2,)</f>
        <v>Outros Créditos</v>
      </c>
      <c r="I255" s="87"/>
    </row>
    <row r="256" spans="1:9" ht="12.75" customHeight="1" x14ac:dyDescent="0.2">
      <c r="A256" s="94" t="s">
        <v>5269</v>
      </c>
      <c r="B256" s="87" t="s">
        <v>44</v>
      </c>
      <c r="C256" s="87" t="s">
        <v>189</v>
      </c>
      <c r="D256" s="89">
        <v>3111</v>
      </c>
      <c r="E256" s="89"/>
      <c r="F256" s="89"/>
      <c r="G256" s="87" t="str">
        <f t="shared" si="3"/>
        <v>113110103'= VIAGENS - ADIANTAMENTO11624919731</v>
      </c>
      <c r="H256" s="87" t="str">
        <f>VLOOKUP(Tabela1[[#This Row],[CONCATENAR]],'Classificações - Demonstrações'!$A$5:$C$46003,2,)</f>
        <v>Outros Créditos</v>
      </c>
      <c r="I256" s="87"/>
    </row>
    <row r="257" spans="1:9" ht="12.75" customHeight="1" x14ac:dyDescent="0.2">
      <c r="A257" s="94" t="s">
        <v>5269</v>
      </c>
      <c r="B257" s="87" t="s">
        <v>44</v>
      </c>
      <c r="C257" s="87" t="s">
        <v>190</v>
      </c>
      <c r="D257" s="89">
        <v>3465</v>
      </c>
      <c r="E257" s="88"/>
      <c r="F257" s="88"/>
      <c r="G257" s="87" t="str">
        <f t="shared" si="3"/>
        <v>113110103'= VIAGENS - ADIANTAMENTO11657929744</v>
      </c>
      <c r="H257" s="87" t="str">
        <f>VLOOKUP(Tabela1[[#This Row],[CONCATENAR]],'Classificações - Demonstrações'!$A$5:$C$46003,2,)</f>
        <v>Outros Créditos</v>
      </c>
      <c r="I257" s="87"/>
    </row>
    <row r="258" spans="1:9" ht="12.75" customHeight="1" x14ac:dyDescent="0.2">
      <c r="A258" s="94" t="s">
        <v>5269</v>
      </c>
      <c r="B258" s="87" t="s">
        <v>44</v>
      </c>
      <c r="C258" s="87" t="s">
        <v>191</v>
      </c>
      <c r="D258" s="89">
        <v>2878</v>
      </c>
      <c r="E258" s="88"/>
      <c r="F258" s="88"/>
      <c r="G258" s="87" t="str">
        <f t="shared" si="3"/>
        <v>113110103'= VIAGENS - ADIANTAMENTO11748498789</v>
      </c>
      <c r="H258" s="87" t="str">
        <f>VLOOKUP(Tabela1[[#This Row],[CONCATENAR]],'Classificações - Demonstrações'!$A$5:$C$46003,2,)</f>
        <v>Outros Créditos</v>
      </c>
      <c r="I258" s="87"/>
    </row>
    <row r="259" spans="1:9" ht="12.75" customHeight="1" x14ac:dyDescent="0.2">
      <c r="A259" s="94" t="s">
        <v>5269</v>
      </c>
      <c r="B259" s="87" t="s">
        <v>44</v>
      </c>
      <c r="C259" s="87" t="s">
        <v>192</v>
      </c>
      <c r="D259" s="89">
        <v>3255</v>
      </c>
      <c r="E259" s="89"/>
      <c r="F259" s="89"/>
      <c r="G259" s="87" t="str">
        <f t="shared" si="3"/>
        <v>113110103'= VIAGENS - ADIANTAMENTO11753893747</v>
      </c>
      <c r="H259" s="87" t="str">
        <f>VLOOKUP(Tabela1[[#This Row],[CONCATENAR]],'Classificações - Demonstrações'!$A$5:$C$46003,2,)</f>
        <v>Outros Créditos</v>
      </c>
      <c r="I259" s="87"/>
    </row>
    <row r="260" spans="1:9" ht="12.75" customHeight="1" x14ac:dyDescent="0.2">
      <c r="A260" s="94" t="s">
        <v>5269</v>
      </c>
      <c r="B260" s="87" t="s">
        <v>44</v>
      </c>
      <c r="C260" s="87" t="s">
        <v>5997</v>
      </c>
      <c r="D260" s="89">
        <v>1152</v>
      </c>
      <c r="E260" s="88"/>
      <c r="F260" s="88"/>
      <c r="G260" s="87" t="str">
        <f t="shared" si="3"/>
        <v>113110103'= VIAGENS - ADIANTAMENTO11836140711</v>
      </c>
      <c r="H260" s="87" t="str">
        <f>VLOOKUP(Tabela1[[#This Row],[CONCATENAR]],'Classificações - Demonstrações'!$A$5:$C$46003,2,)</f>
        <v>Outros Créditos</v>
      </c>
      <c r="I260" s="87"/>
    </row>
    <row r="261" spans="1:9" ht="12.75" customHeight="1" x14ac:dyDescent="0.2">
      <c r="A261" s="94" t="s">
        <v>5269</v>
      </c>
      <c r="B261" s="87" t="s">
        <v>44</v>
      </c>
      <c r="C261" s="87" t="s">
        <v>193</v>
      </c>
      <c r="D261" s="89">
        <v>52517</v>
      </c>
      <c r="E261" s="89"/>
      <c r="F261" s="89"/>
      <c r="G261" s="87" t="str">
        <f t="shared" ref="G261:G324" si="4">CONCATENATE(A261,B261,C261)</f>
        <v>113110103'= VIAGENS - ADIANTAMENTO11882656792</v>
      </c>
      <c r="H261" s="87" t="str">
        <f>VLOOKUP(Tabela1[[#This Row],[CONCATENAR]],'Classificações - Demonstrações'!$A$5:$C$46003,2,)</f>
        <v>Outros Créditos</v>
      </c>
      <c r="I261" s="87"/>
    </row>
    <row r="262" spans="1:9" ht="12.75" customHeight="1" x14ac:dyDescent="0.2">
      <c r="A262" s="94" t="s">
        <v>5269</v>
      </c>
      <c r="B262" s="87" t="s">
        <v>44</v>
      </c>
      <c r="C262" s="87" t="s">
        <v>194</v>
      </c>
      <c r="D262" s="89">
        <v>6910</v>
      </c>
      <c r="E262" s="89"/>
      <c r="F262" s="89"/>
      <c r="G262" s="87" t="str">
        <f t="shared" si="4"/>
        <v>113110103'= VIAGENS - ADIANTAMENTO11888471719</v>
      </c>
      <c r="H262" s="87" t="str">
        <f>VLOOKUP(Tabela1[[#This Row],[CONCATENAR]],'Classificações - Demonstrações'!$A$5:$C$46003,2,)</f>
        <v>Outros Créditos</v>
      </c>
      <c r="I262" s="87"/>
    </row>
    <row r="263" spans="1:9" ht="12.75" customHeight="1" x14ac:dyDescent="0.2">
      <c r="A263" s="94" t="s">
        <v>5269</v>
      </c>
      <c r="B263" s="87" t="s">
        <v>44</v>
      </c>
      <c r="C263" s="87" t="s">
        <v>195</v>
      </c>
      <c r="D263" s="89">
        <v>23237.58</v>
      </c>
      <c r="E263" s="89"/>
      <c r="F263" s="89"/>
      <c r="G263" s="87" t="str">
        <f t="shared" si="4"/>
        <v>113110103'= VIAGENS - ADIANTAMENTO11930765797</v>
      </c>
      <c r="H263" s="87" t="str">
        <f>VLOOKUP(Tabela1[[#This Row],[CONCATENAR]],'Classificações - Demonstrações'!$A$5:$C$46003,2,)</f>
        <v>Outros Créditos</v>
      </c>
      <c r="I263" s="87"/>
    </row>
    <row r="264" spans="1:9" ht="12.75" customHeight="1" x14ac:dyDescent="0.2">
      <c r="A264" s="94" t="s">
        <v>5269</v>
      </c>
      <c r="B264" s="87" t="s">
        <v>44</v>
      </c>
      <c r="C264" s="87" t="s">
        <v>4752</v>
      </c>
      <c r="D264" s="88">
        <v>1000</v>
      </c>
      <c r="E264" s="89"/>
      <c r="F264" s="89"/>
      <c r="G264" s="87" t="str">
        <f t="shared" si="4"/>
        <v>113110103'= VIAGENS - ADIANTAMENTO11975532740</v>
      </c>
      <c r="H264" s="87" t="str">
        <f>VLOOKUP(Tabela1[[#This Row],[CONCATENAR]],'Classificações - Demonstrações'!$A$5:$C$46003,2,)</f>
        <v>Outros Créditos</v>
      </c>
      <c r="I264" s="87"/>
    </row>
    <row r="265" spans="1:9" ht="12.75" customHeight="1" x14ac:dyDescent="0.2">
      <c r="A265" s="94" t="s">
        <v>5269</v>
      </c>
      <c r="B265" s="87" t="s">
        <v>44</v>
      </c>
      <c r="C265" s="87" t="s">
        <v>196</v>
      </c>
      <c r="D265" s="89">
        <v>2878</v>
      </c>
      <c r="E265" s="88"/>
      <c r="F265" s="88"/>
      <c r="G265" s="87" t="str">
        <f t="shared" si="4"/>
        <v>113110103'= VIAGENS - ADIANTAMENTO12002456798</v>
      </c>
      <c r="H265" s="87" t="str">
        <f>VLOOKUP(Tabela1[[#This Row],[CONCATENAR]],'Classificações - Demonstrações'!$A$5:$C$46003,2,)</f>
        <v>Outros Créditos</v>
      </c>
      <c r="I265" s="87"/>
    </row>
    <row r="266" spans="1:9" ht="12.75" customHeight="1" x14ac:dyDescent="0.2">
      <c r="A266" s="94" t="s">
        <v>5269</v>
      </c>
      <c r="B266" s="87" t="s">
        <v>44</v>
      </c>
      <c r="C266" s="87" t="s">
        <v>197</v>
      </c>
      <c r="D266" s="89">
        <v>22181</v>
      </c>
      <c r="E266" s="89"/>
      <c r="F266" s="89"/>
      <c r="G266" s="87" t="str">
        <f t="shared" si="4"/>
        <v>113110103'= VIAGENS - ADIANTAMENTO12010504720</v>
      </c>
      <c r="H266" s="87" t="str">
        <f>VLOOKUP(Tabela1[[#This Row],[CONCATENAR]],'Classificações - Demonstrações'!$A$5:$C$46003,2,)</f>
        <v>Outros Créditos</v>
      </c>
      <c r="I266" s="87"/>
    </row>
    <row r="267" spans="1:9" ht="12.75" customHeight="1" x14ac:dyDescent="0.2">
      <c r="A267" s="94" t="s">
        <v>5269</v>
      </c>
      <c r="B267" s="87" t="s">
        <v>44</v>
      </c>
      <c r="C267" s="87" t="s">
        <v>4534</v>
      </c>
      <c r="D267" s="89">
        <v>37068</v>
      </c>
      <c r="E267" s="89"/>
      <c r="F267" s="89"/>
      <c r="G267" s="87" t="str">
        <f t="shared" si="4"/>
        <v>113110103'= VIAGENS - ADIANTAMENTO12099934738</v>
      </c>
      <c r="H267" s="87" t="str">
        <f>VLOOKUP(Tabela1[[#This Row],[CONCATENAR]],'Classificações - Demonstrações'!$A$5:$C$46003,2,)</f>
        <v>Outros Créditos</v>
      </c>
      <c r="I267" s="87"/>
    </row>
    <row r="268" spans="1:9" ht="12.75" customHeight="1" x14ac:dyDescent="0.2">
      <c r="A268" s="94" t="s">
        <v>5269</v>
      </c>
      <c r="B268" s="87" t="s">
        <v>44</v>
      </c>
      <c r="C268" s="87" t="s">
        <v>198</v>
      </c>
      <c r="D268" s="89">
        <v>16363</v>
      </c>
      <c r="E268" s="89"/>
      <c r="F268" s="89"/>
      <c r="G268" s="87" t="str">
        <f t="shared" si="4"/>
        <v>113110103'= VIAGENS - ADIANTAMENTO12116849705</v>
      </c>
      <c r="H268" s="87" t="str">
        <f>VLOOKUP(Tabela1[[#This Row],[CONCATENAR]],'Classificações - Demonstrações'!$A$5:$C$46003,2,)</f>
        <v>Outros Créditos</v>
      </c>
      <c r="I268" s="87"/>
    </row>
    <row r="269" spans="1:9" ht="12.75" customHeight="1" x14ac:dyDescent="0.2">
      <c r="A269" s="94" t="s">
        <v>5269</v>
      </c>
      <c r="B269" s="87" t="s">
        <v>44</v>
      </c>
      <c r="C269" s="87" t="s">
        <v>199</v>
      </c>
      <c r="D269" s="89">
        <v>1012</v>
      </c>
      <c r="E269" s="88"/>
      <c r="F269" s="88"/>
      <c r="G269" s="87" t="str">
        <f t="shared" si="4"/>
        <v>113110103'= VIAGENS - ADIANTAMENTO12133147713</v>
      </c>
      <c r="H269" s="87" t="str">
        <f>VLOOKUP(Tabela1[[#This Row],[CONCATENAR]],'Classificações - Demonstrações'!$A$5:$C$46003,2,)</f>
        <v>Outros Créditos</v>
      </c>
      <c r="I269" s="87"/>
    </row>
    <row r="270" spans="1:9" ht="12.75" customHeight="1" x14ac:dyDescent="0.2">
      <c r="A270" s="94" t="s">
        <v>5269</v>
      </c>
      <c r="B270" s="87" t="s">
        <v>44</v>
      </c>
      <c r="C270" s="87" t="s">
        <v>200</v>
      </c>
      <c r="D270" s="89">
        <v>30242</v>
      </c>
      <c r="E270" s="88"/>
      <c r="F270" s="88"/>
      <c r="G270" s="87" t="str">
        <f t="shared" si="4"/>
        <v>113110103'= VIAGENS - ADIANTAMENTO12153142725</v>
      </c>
      <c r="H270" s="87" t="str">
        <f>VLOOKUP(Tabela1[[#This Row],[CONCATENAR]],'Classificações - Demonstrações'!$A$5:$C$46003,2,)</f>
        <v>Outros Créditos</v>
      </c>
      <c r="I270" s="87"/>
    </row>
    <row r="271" spans="1:9" ht="12.75" customHeight="1" x14ac:dyDescent="0.2">
      <c r="A271" s="94" t="s">
        <v>5269</v>
      </c>
      <c r="B271" s="87" t="s">
        <v>44</v>
      </c>
      <c r="C271" s="87" t="s">
        <v>201</v>
      </c>
      <c r="D271" s="89">
        <v>30122.5</v>
      </c>
      <c r="E271" s="89"/>
      <c r="F271" s="89"/>
      <c r="G271" s="87" t="str">
        <f t="shared" si="4"/>
        <v>113110103'= VIAGENS - ADIANTAMENTO12178480705</v>
      </c>
      <c r="H271" s="87" t="str">
        <f>VLOOKUP(Tabela1[[#This Row],[CONCATENAR]],'Classificações - Demonstrações'!$A$5:$C$46003,2,)</f>
        <v>Outros Créditos</v>
      </c>
      <c r="I271" s="87"/>
    </row>
    <row r="272" spans="1:9" ht="12.75" customHeight="1" x14ac:dyDescent="0.2">
      <c r="A272" s="94" t="s">
        <v>5269</v>
      </c>
      <c r="B272" s="87" t="s">
        <v>44</v>
      </c>
      <c r="C272" s="87" t="s">
        <v>202</v>
      </c>
      <c r="D272" s="89">
        <v>6939</v>
      </c>
      <c r="E272" s="88"/>
      <c r="F272" s="88"/>
      <c r="G272" s="87" t="str">
        <f t="shared" si="4"/>
        <v>113110103'= VIAGENS - ADIANTAMENTO12179313764</v>
      </c>
      <c r="H272" s="87" t="str">
        <f>VLOOKUP(Tabela1[[#This Row],[CONCATENAR]],'Classificações - Demonstrações'!$A$5:$C$46003,2,)</f>
        <v>Outros Créditos</v>
      </c>
      <c r="I272" s="87"/>
    </row>
    <row r="273" spans="1:9" ht="12.75" customHeight="1" x14ac:dyDescent="0.2">
      <c r="A273" s="94" t="s">
        <v>5269</v>
      </c>
      <c r="B273" s="87" t="s">
        <v>44</v>
      </c>
      <c r="C273" s="87" t="s">
        <v>203</v>
      </c>
      <c r="D273" s="89">
        <v>7108</v>
      </c>
      <c r="E273" s="88"/>
      <c r="F273" s="88"/>
      <c r="G273" s="87" t="str">
        <f t="shared" si="4"/>
        <v>113110103'= VIAGENS - ADIANTAMENTO12207050718</v>
      </c>
      <c r="H273" s="87" t="str">
        <f>VLOOKUP(Tabela1[[#This Row],[CONCATENAR]],'Classificações - Demonstrações'!$A$5:$C$46003,2,)</f>
        <v>Outros Créditos</v>
      </c>
      <c r="I273" s="87"/>
    </row>
    <row r="274" spans="1:9" ht="12.75" customHeight="1" x14ac:dyDescent="0.2">
      <c r="A274" s="94" t="s">
        <v>5269</v>
      </c>
      <c r="B274" s="87" t="s">
        <v>44</v>
      </c>
      <c r="C274" s="87" t="s">
        <v>204</v>
      </c>
      <c r="D274" s="89">
        <v>29593.96</v>
      </c>
      <c r="E274" s="89"/>
      <c r="F274" s="89"/>
      <c r="G274" s="87" t="str">
        <f t="shared" si="4"/>
        <v>113110103'= VIAGENS - ADIANTAMENTO12228568759</v>
      </c>
      <c r="H274" s="87" t="str">
        <f>VLOOKUP(Tabela1[[#This Row],[CONCATENAR]],'Classificações - Demonstrações'!$A$5:$C$46003,2,)</f>
        <v>Outros Créditos</v>
      </c>
      <c r="I274" s="87"/>
    </row>
    <row r="275" spans="1:9" ht="12.75" customHeight="1" x14ac:dyDescent="0.2">
      <c r="A275" s="94" t="s">
        <v>5269</v>
      </c>
      <c r="B275" s="87" t="s">
        <v>44</v>
      </c>
      <c r="C275" s="87" t="s">
        <v>205</v>
      </c>
      <c r="D275" s="89">
        <v>5464</v>
      </c>
      <c r="E275" s="88"/>
      <c r="F275" s="88"/>
      <c r="G275" s="87" t="str">
        <f t="shared" si="4"/>
        <v>113110103'= VIAGENS - ADIANTAMENTO12232702707</v>
      </c>
      <c r="H275" s="87" t="str">
        <f>VLOOKUP(Tabela1[[#This Row],[CONCATENAR]],'Classificações - Demonstrações'!$A$5:$C$46003,2,)</f>
        <v>Outros Créditos</v>
      </c>
      <c r="I275" s="87"/>
    </row>
    <row r="276" spans="1:9" ht="12.75" customHeight="1" x14ac:dyDescent="0.2">
      <c r="A276" s="94" t="s">
        <v>5269</v>
      </c>
      <c r="B276" s="87" t="s">
        <v>44</v>
      </c>
      <c r="C276" s="87" t="s">
        <v>206</v>
      </c>
      <c r="D276" s="89">
        <v>16182.5</v>
      </c>
      <c r="E276" s="89"/>
      <c r="F276" s="89"/>
      <c r="G276" s="87" t="str">
        <f t="shared" si="4"/>
        <v>113110103'= VIAGENS - ADIANTAMENTO12243559706</v>
      </c>
      <c r="H276" s="87" t="str">
        <f>VLOOKUP(Tabela1[[#This Row],[CONCATENAR]],'Classificações - Demonstrações'!$A$5:$C$46003,2,)</f>
        <v>Outros Créditos</v>
      </c>
      <c r="I276" s="87"/>
    </row>
    <row r="277" spans="1:9" ht="12.75" customHeight="1" x14ac:dyDescent="0.2">
      <c r="A277" s="94" t="s">
        <v>5269</v>
      </c>
      <c r="B277" s="87" t="s">
        <v>44</v>
      </c>
      <c r="C277" s="87" t="s">
        <v>207</v>
      </c>
      <c r="D277" s="89">
        <v>13523</v>
      </c>
      <c r="E277" s="89"/>
      <c r="F277" s="89"/>
      <c r="G277" s="87" t="str">
        <f t="shared" si="4"/>
        <v>113110103'= VIAGENS - ADIANTAMENTO12243564700</v>
      </c>
      <c r="H277" s="87" t="str">
        <f>VLOOKUP(Tabela1[[#This Row],[CONCATENAR]],'Classificações - Demonstrações'!$A$5:$C$46003,2,)</f>
        <v>Outros Créditos</v>
      </c>
      <c r="I277" s="87"/>
    </row>
    <row r="278" spans="1:9" ht="12.75" customHeight="1" x14ac:dyDescent="0.2">
      <c r="A278" s="94" t="s">
        <v>5269</v>
      </c>
      <c r="B278" s="87" t="s">
        <v>44</v>
      </c>
      <c r="C278" s="87" t="s">
        <v>208</v>
      </c>
      <c r="D278" s="89">
        <v>5721</v>
      </c>
      <c r="E278" s="88"/>
      <c r="F278" s="88"/>
      <c r="G278" s="87" t="str">
        <f t="shared" si="4"/>
        <v>113110103'= VIAGENS - ADIANTAMENTO12323155750</v>
      </c>
      <c r="H278" s="87" t="str">
        <f>VLOOKUP(Tabela1[[#This Row],[CONCATENAR]],'Classificações - Demonstrações'!$A$5:$C$46003,2,)</f>
        <v>Outros Créditos</v>
      </c>
      <c r="I278" s="87"/>
    </row>
    <row r="279" spans="1:9" ht="12.75" customHeight="1" x14ac:dyDescent="0.2">
      <c r="A279" s="94" t="s">
        <v>5269</v>
      </c>
      <c r="B279" s="87" t="s">
        <v>44</v>
      </c>
      <c r="C279" s="87" t="s">
        <v>209</v>
      </c>
      <c r="D279" s="89">
        <v>12859</v>
      </c>
      <c r="E279" s="89"/>
      <c r="F279" s="89"/>
      <c r="G279" s="87" t="str">
        <f t="shared" si="4"/>
        <v>113110103'= VIAGENS - ADIANTAMENTO12339353726</v>
      </c>
      <c r="H279" s="87" t="str">
        <f>VLOOKUP(Tabela1[[#This Row],[CONCATENAR]],'Classificações - Demonstrações'!$A$5:$C$46003,2,)</f>
        <v>Outros Créditos</v>
      </c>
      <c r="I279" s="87"/>
    </row>
    <row r="280" spans="1:9" ht="12.75" customHeight="1" x14ac:dyDescent="0.2">
      <c r="A280" s="94" t="s">
        <v>5269</v>
      </c>
      <c r="B280" s="87" t="s">
        <v>44</v>
      </c>
      <c r="C280" s="87" t="s">
        <v>210</v>
      </c>
      <c r="D280" s="89">
        <v>38939.18</v>
      </c>
      <c r="E280" s="89"/>
      <c r="F280" s="89"/>
      <c r="G280" s="87" t="str">
        <f t="shared" si="4"/>
        <v>113110103'= VIAGENS - ADIANTAMENTO12360509756</v>
      </c>
      <c r="H280" s="87" t="str">
        <f>VLOOKUP(Tabela1[[#This Row],[CONCATENAR]],'Classificações - Demonstrações'!$A$5:$C$46003,2,)</f>
        <v>Outros Créditos</v>
      </c>
      <c r="I280" s="87"/>
    </row>
    <row r="281" spans="1:9" ht="12.75" customHeight="1" x14ac:dyDescent="0.2">
      <c r="A281" s="94" t="s">
        <v>5269</v>
      </c>
      <c r="B281" s="87" t="s">
        <v>44</v>
      </c>
      <c r="C281" s="87" t="s">
        <v>211</v>
      </c>
      <c r="D281" s="89">
        <v>8500</v>
      </c>
      <c r="E281" s="89"/>
      <c r="F281" s="89"/>
      <c r="G281" s="87" t="str">
        <f t="shared" si="4"/>
        <v>113110103'= VIAGENS - ADIANTAMENTO12388168783</v>
      </c>
      <c r="H281" s="87" t="str">
        <f>VLOOKUP(Tabela1[[#This Row],[CONCATENAR]],'Classificações - Demonstrações'!$A$5:$C$46003,2,)</f>
        <v>Outros Créditos</v>
      </c>
      <c r="I281" s="87"/>
    </row>
    <row r="282" spans="1:9" ht="12.75" customHeight="1" x14ac:dyDescent="0.2">
      <c r="A282" s="94" t="s">
        <v>5269</v>
      </c>
      <c r="B282" s="87" t="s">
        <v>44</v>
      </c>
      <c r="C282" s="87" t="s">
        <v>212</v>
      </c>
      <c r="D282" s="89">
        <v>21351.5</v>
      </c>
      <c r="E282" s="88"/>
      <c r="F282" s="88"/>
      <c r="G282" s="87" t="str">
        <f t="shared" si="4"/>
        <v>113110103'= VIAGENS - ADIANTAMENTO12416679775</v>
      </c>
      <c r="H282" s="87" t="str">
        <f>VLOOKUP(Tabela1[[#This Row],[CONCATENAR]],'Classificações - Demonstrações'!$A$5:$C$46003,2,)</f>
        <v>Outros Créditos</v>
      </c>
      <c r="I282" s="87"/>
    </row>
    <row r="283" spans="1:9" ht="12.75" customHeight="1" x14ac:dyDescent="0.2">
      <c r="A283" s="94" t="s">
        <v>5269</v>
      </c>
      <c r="B283" s="87" t="s">
        <v>44</v>
      </c>
      <c r="C283" s="87" t="s">
        <v>213</v>
      </c>
      <c r="D283" s="89">
        <v>33639</v>
      </c>
      <c r="E283" s="88"/>
      <c r="F283" s="88"/>
      <c r="G283" s="87" t="str">
        <f t="shared" si="4"/>
        <v>113110103'= VIAGENS - ADIANTAMENTO12455956792</v>
      </c>
      <c r="H283" s="87" t="str">
        <f>VLOOKUP(Tabela1[[#This Row],[CONCATENAR]],'Classificações - Demonstrações'!$A$5:$C$46003,2,)</f>
        <v>Outros Créditos</v>
      </c>
      <c r="I283" s="87"/>
    </row>
    <row r="284" spans="1:9" ht="12.75" customHeight="1" x14ac:dyDescent="0.2">
      <c r="A284" s="94" t="s">
        <v>5269</v>
      </c>
      <c r="B284" s="87" t="s">
        <v>44</v>
      </c>
      <c r="C284" s="87" t="s">
        <v>4616</v>
      </c>
      <c r="D284" s="89">
        <v>16074</v>
      </c>
      <c r="E284" s="89"/>
      <c r="F284" s="89"/>
      <c r="G284" s="87" t="str">
        <f t="shared" si="4"/>
        <v>113110103'= VIAGENS - ADIANTAMENTO12517248761</v>
      </c>
      <c r="H284" s="87" t="str">
        <f>VLOOKUP(Tabela1[[#This Row],[CONCATENAR]],'Classificações - Demonstrações'!$A$5:$C$46003,2,)</f>
        <v>Outros Créditos</v>
      </c>
      <c r="I284" s="87"/>
    </row>
    <row r="285" spans="1:9" ht="12.75" customHeight="1" x14ac:dyDescent="0.2">
      <c r="A285" s="94" t="s">
        <v>5269</v>
      </c>
      <c r="B285" s="87" t="s">
        <v>44</v>
      </c>
      <c r="C285" s="87" t="s">
        <v>214</v>
      </c>
      <c r="D285" s="89">
        <v>41670.54</v>
      </c>
      <c r="E285" s="89"/>
      <c r="F285" s="89"/>
      <c r="G285" s="87" t="str">
        <f t="shared" si="4"/>
        <v>113110103'= VIAGENS - ADIANTAMENTO12530156786</v>
      </c>
      <c r="H285" s="87" t="str">
        <f>VLOOKUP(Tabela1[[#This Row],[CONCATENAR]],'Classificações - Demonstrações'!$A$5:$C$46003,2,)</f>
        <v>Outros Créditos</v>
      </c>
      <c r="I285" s="87"/>
    </row>
    <row r="286" spans="1:9" ht="12.75" customHeight="1" x14ac:dyDescent="0.2">
      <c r="A286" s="94" t="s">
        <v>5269</v>
      </c>
      <c r="B286" s="87" t="s">
        <v>44</v>
      </c>
      <c r="C286" s="87" t="s">
        <v>215</v>
      </c>
      <c r="D286" s="89">
        <v>4252</v>
      </c>
      <c r="E286" s="88"/>
      <c r="F286" s="88"/>
      <c r="G286" s="87" t="str">
        <f t="shared" si="4"/>
        <v>113110103'= VIAGENS - ADIANTAMENTO12603865706</v>
      </c>
      <c r="H286" s="87" t="str">
        <f>VLOOKUP(Tabela1[[#This Row],[CONCATENAR]],'Classificações - Demonstrações'!$A$5:$C$46003,2,)</f>
        <v>Outros Créditos</v>
      </c>
      <c r="I286" s="87"/>
    </row>
    <row r="287" spans="1:9" ht="12.75" customHeight="1" x14ac:dyDescent="0.2">
      <c r="A287" s="94" t="s">
        <v>5269</v>
      </c>
      <c r="B287" s="87" t="s">
        <v>44</v>
      </c>
      <c r="C287" s="87" t="s">
        <v>216</v>
      </c>
      <c r="D287" s="89">
        <v>22697.5</v>
      </c>
      <c r="E287" s="89"/>
      <c r="F287" s="89"/>
      <c r="G287" s="87" t="str">
        <f t="shared" si="4"/>
        <v>113110103'= VIAGENS - ADIANTAMENTO12609177704</v>
      </c>
      <c r="H287" s="87" t="str">
        <f>VLOOKUP(Tabela1[[#This Row],[CONCATENAR]],'Classificações - Demonstrações'!$A$5:$C$46003,2,)</f>
        <v>Outros Créditos</v>
      </c>
      <c r="I287" s="87"/>
    </row>
    <row r="288" spans="1:9" ht="12.75" customHeight="1" x14ac:dyDescent="0.2">
      <c r="A288" s="94" t="s">
        <v>5269</v>
      </c>
      <c r="B288" s="87" t="s">
        <v>44</v>
      </c>
      <c r="C288" s="87" t="s">
        <v>217</v>
      </c>
      <c r="D288" s="89">
        <v>55529.8</v>
      </c>
      <c r="E288" s="89"/>
      <c r="F288" s="89"/>
      <c r="G288" s="87" t="str">
        <f t="shared" si="4"/>
        <v>113110103'= VIAGENS - ADIANTAMENTO12662396776</v>
      </c>
      <c r="H288" s="87" t="str">
        <f>VLOOKUP(Tabela1[[#This Row],[CONCATENAR]],'Classificações - Demonstrações'!$A$5:$C$46003,2,)</f>
        <v>Outros Créditos</v>
      </c>
      <c r="I288" s="87"/>
    </row>
    <row r="289" spans="1:9" ht="12.75" customHeight="1" x14ac:dyDescent="0.2">
      <c r="A289" s="94" t="s">
        <v>5269</v>
      </c>
      <c r="B289" s="87" t="s">
        <v>44</v>
      </c>
      <c r="C289" s="87" t="s">
        <v>5998</v>
      </c>
      <c r="D289" s="89">
        <v>6992.5</v>
      </c>
      <c r="E289" s="89"/>
      <c r="F289" s="89"/>
      <c r="G289" s="87" t="str">
        <f t="shared" si="4"/>
        <v>113110103'= VIAGENS - ADIANTAMENTO12767938714</v>
      </c>
      <c r="H289" s="87" t="str">
        <f>VLOOKUP(Tabela1[[#This Row],[CONCATENAR]],'Classificações - Demonstrações'!$A$5:$C$46003,2,)</f>
        <v>Outros Créditos</v>
      </c>
      <c r="I289" s="87"/>
    </row>
    <row r="290" spans="1:9" ht="12.75" customHeight="1" x14ac:dyDescent="0.2">
      <c r="A290" s="94" t="s">
        <v>5269</v>
      </c>
      <c r="B290" s="87" t="s">
        <v>44</v>
      </c>
      <c r="C290" s="87" t="s">
        <v>5999</v>
      </c>
      <c r="D290" s="89">
        <v>3800</v>
      </c>
      <c r="E290" s="89"/>
      <c r="F290" s="89"/>
      <c r="G290" s="87" t="str">
        <f t="shared" si="4"/>
        <v>113110103'= VIAGENS - ADIANTAMENTO12835806750</v>
      </c>
      <c r="H290" s="87" t="str">
        <f>VLOOKUP(Tabela1[[#This Row],[CONCATENAR]],'Classificações - Demonstrações'!$A$5:$C$46003,2,)</f>
        <v>Outros Créditos</v>
      </c>
      <c r="I290" s="87"/>
    </row>
    <row r="291" spans="1:9" ht="12.75" customHeight="1" x14ac:dyDescent="0.2">
      <c r="A291" s="94" t="s">
        <v>5269</v>
      </c>
      <c r="B291" s="87" t="s">
        <v>44</v>
      </c>
      <c r="C291" s="87" t="s">
        <v>218</v>
      </c>
      <c r="D291" s="89">
        <v>939</v>
      </c>
      <c r="E291" s="89"/>
      <c r="F291" s="89"/>
      <c r="G291" s="87" t="str">
        <f t="shared" si="4"/>
        <v>113110103'= VIAGENS - ADIANTAMENTO12853099792</v>
      </c>
      <c r="H291" s="87" t="str">
        <f>VLOOKUP(Tabela1[[#This Row],[CONCATENAR]],'Classificações - Demonstrações'!$A$5:$C$46003,2,)</f>
        <v>Outros Créditos</v>
      </c>
      <c r="I291" s="87"/>
    </row>
    <row r="292" spans="1:9" ht="12.75" customHeight="1" x14ac:dyDescent="0.2">
      <c r="A292" s="94" t="s">
        <v>5269</v>
      </c>
      <c r="B292" s="87" t="s">
        <v>44</v>
      </c>
      <c r="C292" s="87" t="s">
        <v>5136</v>
      </c>
      <c r="D292" s="89">
        <v>1422</v>
      </c>
      <c r="E292" s="89"/>
      <c r="F292" s="89"/>
      <c r="G292" s="87" t="str">
        <f t="shared" si="4"/>
        <v>113110103'= VIAGENS - ADIANTAMENTO12853103730</v>
      </c>
      <c r="H292" s="87" t="str">
        <f>VLOOKUP(Tabela1[[#This Row],[CONCATENAR]],'Classificações - Demonstrações'!$A$5:$C$46003,2,)</f>
        <v>Outros Créditos</v>
      </c>
      <c r="I292" s="87"/>
    </row>
    <row r="293" spans="1:9" ht="12.75" customHeight="1" x14ac:dyDescent="0.2">
      <c r="A293" s="94" t="s">
        <v>5269</v>
      </c>
      <c r="B293" s="87" t="s">
        <v>44</v>
      </c>
      <c r="C293" s="87" t="s">
        <v>219</v>
      </c>
      <c r="D293" s="89">
        <v>8370</v>
      </c>
      <c r="E293" s="89"/>
      <c r="F293" s="89"/>
      <c r="G293" s="87" t="str">
        <f t="shared" si="4"/>
        <v>113110103'= VIAGENS - ADIANTAMENTO12907866745</v>
      </c>
      <c r="H293" s="87" t="str">
        <f>VLOOKUP(Tabela1[[#This Row],[CONCATENAR]],'Classificações - Demonstrações'!$A$5:$C$46003,2,)</f>
        <v>Outros Créditos</v>
      </c>
      <c r="I293" s="87"/>
    </row>
    <row r="294" spans="1:9" ht="12.75" customHeight="1" x14ac:dyDescent="0.2">
      <c r="A294" s="94" t="s">
        <v>5269</v>
      </c>
      <c r="B294" s="87" t="s">
        <v>44</v>
      </c>
      <c r="C294" s="87" t="s">
        <v>220</v>
      </c>
      <c r="D294" s="89">
        <v>34043.9</v>
      </c>
      <c r="E294" s="88"/>
      <c r="F294" s="88"/>
      <c r="G294" s="87" t="str">
        <f t="shared" si="4"/>
        <v>113110103'= VIAGENS - ADIANTAMENTO12952461716</v>
      </c>
      <c r="H294" s="87" t="str">
        <f>VLOOKUP(Tabela1[[#This Row],[CONCATENAR]],'Classificações - Demonstrações'!$A$5:$C$46003,2,)</f>
        <v>Outros Créditos</v>
      </c>
      <c r="I294" s="87"/>
    </row>
    <row r="295" spans="1:9" ht="12.75" customHeight="1" x14ac:dyDescent="0.2">
      <c r="A295" s="94" t="s">
        <v>5269</v>
      </c>
      <c r="B295" s="87" t="s">
        <v>44</v>
      </c>
      <c r="C295" s="87" t="s">
        <v>221</v>
      </c>
      <c r="D295" s="88">
        <v>37548.5</v>
      </c>
      <c r="E295" s="89"/>
      <c r="F295" s="89"/>
      <c r="G295" s="87" t="str">
        <f t="shared" si="4"/>
        <v>113110103'= VIAGENS - ADIANTAMENTO13045670792</v>
      </c>
      <c r="H295" s="87" t="str">
        <f>VLOOKUP(Tabela1[[#This Row],[CONCATENAR]],'Classificações - Demonstrações'!$A$5:$C$46003,2,)</f>
        <v>Outros Créditos</v>
      </c>
      <c r="I295" s="87"/>
    </row>
    <row r="296" spans="1:9" ht="12.75" customHeight="1" x14ac:dyDescent="0.2">
      <c r="A296" s="94" t="s">
        <v>5269</v>
      </c>
      <c r="B296" s="87" t="s">
        <v>44</v>
      </c>
      <c r="C296" s="87" t="s">
        <v>222</v>
      </c>
      <c r="D296" s="89">
        <v>42559.5</v>
      </c>
      <c r="E296" s="88"/>
      <c r="F296" s="88"/>
      <c r="G296" s="87" t="str">
        <f t="shared" si="4"/>
        <v>113110103'= VIAGENS - ADIANTAMENTO13069590713</v>
      </c>
      <c r="H296" s="87" t="str">
        <f>VLOOKUP(Tabela1[[#This Row],[CONCATENAR]],'Classificações - Demonstrações'!$A$5:$C$46003,2,)</f>
        <v>Outros Créditos</v>
      </c>
      <c r="I296" s="87"/>
    </row>
    <row r="297" spans="1:9" ht="12.75" customHeight="1" x14ac:dyDescent="0.2">
      <c r="A297" s="94" t="s">
        <v>5269</v>
      </c>
      <c r="B297" s="87" t="s">
        <v>44</v>
      </c>
      <c r="C297" s="87" t="s">
        <v>223</v>
      </c>
      <c r="D297" s="89">
        <v>6226</v>
      </c>
      <c r="E297" s="89"/>
      <c r="F297" s="89"/>
      <c r="G297" s="87" t="str">
        <f t="shared" si="4"/>
        <v>113110103'= VIAGENS - ADIANTAMENTO13088310720</v>
      </c>
      <c r="H297" s="87" t="str">
        <f>VLOOKUP(Tabela1[[#This Row],[CONCATENAR]],'Classificações - Demonstrações'!$A$5:$C$46003,2,)</f>
        <v>Outros Créditos</v>
      </c>
      <c r="I297" s="87"/>
    </row>
    <row r="298" spans="1:9" ht="12.75" customHeight="1" x14ac:dyDescent="0.2">
      <c r="A298" s="94" t="s">
        <v>5269</v>
      </c>
      <c r="B298" s="87" t="s">
        <v>44</v>
      </c>
      <c r="C298" s="87" t="s">
        <v>6000</v>
      </c>
      <c r="D298" s="89">
        <v>2714</v>
      </c>
      <c r="E298" s="88"/>
      <c r="F298" s="88"/>
      <c r="G298" s="87" t="str">
        <f t="shared" si="4"/>
        <v>113110103'= VIAGENS - ADIANTAMENTO13095356714</v>
      </c>
      <c r="H298" s="87" t="str">
        <f>VLOOKUP(Tabela1[[#This Row],[CONCATENAR]],'Classificações - Demonstrações'!$A$5:$C$46003,2,)</f>
        <v>Outros Créditos</v>
      </c>
      <c r="I298" s="87"/>
    </row>
    <row r="299" spans="1:9" ht="12.75" customHeight="1" x14ac:dyDescent="0.2">
      <c r="A299" s="94" t="s">
        <v>5269</v>
      </c>
      <c r="B299" s="87" t="s">
        <v>44</v>
      </c>
      <c r="C299" s="87" t="s">
        <v>224</v>
      </c>
      <c r="D299" s="89">
        <v>13199</v>
      </c>
      <c r="E299" s="88"/>
      <c r="F299" s="88"/>
      <c r="G299" s="87" t="str">
        <f t="shared" si="4"/>
        <v>113110103'= VIAGENS - ADIANTAMENTO13151337767</v>
      </c>
      <c r="H299" s="87" t="str">
        <f>VLOOKUP(Tabela1[[#This Row],[CONCATENAR]],'Classificações - Demonstrações'!$A$5:$C$46003,2,)</f>
        <v>Outros Créditos</v>
      </c>
      <c r="I299" s="87"/>
    </row>
    <row r="300" spans="1:9" ht="12.75" customHeight="1" x14ac:dyDescent="0.2">
      <c r="A300" s="94" t="s">
        <v>5269</v>
      </c>
      <c r="B300" s="87" t="s">
        <v>44</v>
      </c>
      <c r="C300" s="87" t="s">
        <v>225</v>
      </c>
      <c r="D300" s="89">
        <v>15160</v>
      </c>
      <c r="E300" s="88"/>
      <c r="F300" s="88"/>
      <c r="G300" s="87" t="str">
        <f t="shared" si="4"/>
        <v>113110103'= VIAGENS - ADIANTAMENTO13151475728</v>
      </c>
      <c r="H300" s="87" t="str">
        <f>VLOOKUP(Tabela1[[#This Row],[CONCATENAR]],'Classificações - Demonstrações'!$A$5:$C$46003,2,)</f>
        <v>Outros Créditos</v>
      </c>
      <c r="I300" s="87"/>
    </row>
    <row r="301" spans="1:9" ht="12.75" customHeight="1" x14ac:dyDescent="0.2">
      <c r="A301" s="94" t="s">
        <v>5269</v>
      </c>
      <c r="B301" s="87" t="s">
        <v>44</v>
      </c>
      <c r="C301" s="87" t="s">
        <v>226</v>
      </c>
      <c r="D301" s="88">
        <v>6577</v>
      </c>
      <c r="E301" s="89"/>
      <c r="F301" s="89"/>
      <c r="G301" s="87" t="str">
        <f t="shared" si="4"/>
        <v>113110103'= VIAGENS - ADIANTAMENTO13194064754</v>
      </c>
      <c r="H301" s="87" t="str">
        <f>VLOOKUP(Tabela1[[#This Row],[CONCATENAR]],'Classificações - Demonstrações'!$A$5:$C$46003,2,)</f>
        <v>Outros Créditos</v>
      </c>
      <c r="I301" s="87"/>
    </row>
    <row r="302" spans="1:9" ht="12.75" customHeight="1" x14ac:dyDescent="0.2">
      <c r="A302" s="94" t="s">
        <v>5269</v>
      </c>
      <c r="B302" s="87" t="s">
        <v>44</v>
      </c>
      <c r="C302" s="87" t="s">
        <v>227</v>
      </c>
      <c r="D302" s="89">
        <v>29741</v>
      </c>
      <c r="E302" s="89"/>
      <c r="F302" s="89"/>
      <c r="G302" s="87" t="str">
        <f t="shared" si="4"/>
        <v>113110103'= VIAGENS - ADIANTAMENTO13258665710</v>
      </c>
      <c r="H302" s="87" t="str">
        <f>VLOOKUP(Tabela1[[#This Row],[CONCATENAR]],'Classificações - Demonstrações'!$A$5:$C$46003,2,)</f>
        <v>Outros Créditos</v>
      </c>
      <c r="I302" s="87"/>
    </row>
    <row r="303" spans="1:9" ht="12.75" customHeight="1" x14ac:dyDescent="0.2">
      <c r="A303" s="94" t="s">
        <v>5269</v>
      </c>
      <c r="B303" s="87" t="s">
        <v>44</v>
      </c>
      <c r="C303" s="87" t="s">
        <v>228</v>
      </c>
      <c r="D303" s="89">
        <v>55466</v>
      </c>
      <c r="E303" s="88"/>
      <c r="F303" s="88"/>
      <c r="G303" s="87" t="str">
        <f t="shared" si="4"/>
        <v>113110103'= VIAGENS - ADIANTAMENTO13333191776</v>
      </c>
      <c r="H303" s="87" t="str">
        <f>VLOOKUP(Tabela1[[#This Row],[CONCATENAR]],'Classificações - Demonstrações'!$A$5:$C$46003,2,)</f>
        <v>Outros Créditos</v>
      </c>
      <c r="I303" s="87"/>
    </row>
    <row r="304" spans="1:9" ht="12.75" customHeight="1" x14ac:dyDescent="0.2">
      <c r="A304" s="94" t="s">
        <v>5269</v>
      </c>
      <c r="B304" s="87" t="s">
        <v>44</v>
      </c>
      <c r="C304" s="87" t="s">
        <v>229</v>
      </c>
      <c r="D304" s="88">
        <v>1818</v>
      </c>
      <c r="E304" s="89"/>
      <c r="F304" s="89"/>
      <c r="G304" s="87" t="str">
        <f t="shared" si="4"/>
        <v>113110103'= VIAGENS - ADIANTAMENTO13392853712</v>
      </c>
      <c r="H304" s="87" t="str">
        <f>VLOOKUP(Tabela1[[#This Row],[CONCATENAR]],'Classificações - Demonstrações'!$A$5:$C$46003,2,)</f>
        <v>Outros Créditos</v>
      </c>
      <c r="I304" s="87"/>
    </row>
    <row r="305" spans="1:9" ht="12.75" customHeight="1" x14ac:dyDescent="0.2">
      <c r="A305" s="94" t="s">
        <v>5269</v>
      </c>
      <c r="B305" s="87" t="s">
        <v>44</v>
      </c>
      <c r="C305" s="87" t="s">
        <v>230</v>
      </c>
      <c r="D305" s="89">
        <v>14150</v>
      </c>
      <c r="E305" s="88"/>
      <c r="F305" s="88"/>
      <c r="G305" s="87" t="str">
        <f t="shared" si="4"/>
        <v>113110103'= VIAGENS - ADIANTAMENTO13446574786</v>
      </c>
      <c r="H305" s="87" t="str">
        <f>VLOOKUP(Tabela1[[#This Row],[CONCATENAR]],'Classificações - Demonstrações'!$A$5:$C$46003,2,)</f>
        <v>Outros Créditos</v>
      </c>
      <c r="I305" s="87"/>
    </row>
    <row r="306" spans="1:9" ht="12.75" customHeight="1" x14ac:dyDescent="0.2">
      <c r="A306" s="94" t="s">
        <v>5269</v>
      </c>
      <c r="B306" s="87" t="s">
        <v>44</v>
      </c>
      <c r="C306" s="87" t="s">
        <v>231</v>
      </c>
      <c r="D306" s="89">
        <v>17157.96</v>
      </c>
      <c r="E306" s="89"/>
      <c r="F306" s="89"/>
      <c r="G306" s="87" t="str">
        <f t="shared" si="4"/>
        <v>113110103'= VIAGENS - ADIANTAMENTO13451535700</v>
      </c>
      <c r="H306" s="87" t="str">
        <f>VLOOKUP(Tabela1[[#This Row],[CONCATENAR]],'Classificações - Demonstrações'!$A$5:$C$46003,2,)</f>
        <v>Outros Créditos</v>
      </c>
      <c r="I306" s="87"/>
    </row>
    <row r="307" spans="1:9" ht="12.75" customHeight="1" x14ac:dyDescent="0.2">
      <c r="A307" s="94" t="s">
        <v>5269</v>
      </c>
      <c r="B307" s="87" t="s">
        <v>44</v>
      </c>
      <c r="C307" s="87" t="s">
        <v>232</v>
      </c>
      <c r="D307" s="89">
        <v>5756</v>
      </c>
      <c r="E307" s="88"/>
      <c r="F307" s="88"/>
      <c r="G307" s="87" t="str">
        <f t="shared" si="4"/>
        <v>113110103'= VIAGENS - ADIANTAMENTO13463298775</v>
      </c>
      <c r="H307" s="87" t="str">
        <f>VLOOKUP(Tabela1[[#This Row],[CONCATENAR]],'Classificações - Demonstrações'!$A$5:$C$46003,2,)</f>
        <v>Outros Créditos</v>
      </c>
      <c r="I307" s="87"/>
    </row>
    <row r="308" spans="1:9" ht="12.75" customHeight="1" x14ac:dyDescent="0.2">
      <c r="A308" s="94" t="s">
        <v>5269</v>
      </c>
      <c r="B308" s="87" t="s">
        <v>44</v>
      </c>
      <c r="C308" s="87" t="s">
        <v>6001</v>
      </c>
      <c r="D308" s="88">
        <v>4758</v>
      </c>
      <c r="E308" s="89"/>
      <c r="F308" s="89"/>
      <c r="G308" s="87" t="str">
        <f t="shared" si="4"/>
        <v>113110103'= VIAGENS - ADIANTAMENTO13474582712</v>
      </c>
      <c r="H308" s="87" t="str">
        <f>VLOOKUP(Tabela1[[#This Row],[CONCATENAR]],'Classificações - Demonstrações'!$A$5:$C$46003,2,)</f>
        <v>Outros Créditos</v>
      </c>
      <c r="I308" s="87"/>
    </row>
    <row r="309" spans="1:9" ht="12.75" customHeight="1" x14ac:dyDescent="0.2">
      <c r="A309" s="94" t="s">
        <v>5269</v>
      </c>
      <c r="B309" s="87" t="s">
        <v>44</v>
      </c>
      <c r="C309" s="87" t="s">
        <v>4617</v>
      </c>
      <c r="D309" s="89">
        <v>1484</v>
      </c>
      <c r="E309" s="89"/>
      <c r="F309" s="89"/>
      <c r="G309" s="87" t="str">
        <f t="shared" si="4"/>
        <v>113110103'= VIAGENS - ADIANTAMENTO13477071743</v>
      </c>
      <c r="H309" s="87" t="str">
        <f>VLOOKUP(Tabela1[[#This Row],[CONCATENAR]],'Classificações - Demonstrações'!$A$5:$C$46003,2,)</f>
        <v>Outros Créditos</v>
      </c>
      <c r="I309" s="87"/>
    </row>
    <row r="310" spans="1:9" ht="12.75" customHeight="1" x14ac:dyDescent="0.2">
      <c r="A310" s="94" t="s">
        <v>5269</v>
      </c>
      <c r="B310" s="87" t="s">
        <v>44</v>
      </c>
      <c r="C310" s="87" t="s">
        <v>233</v>
      </c>
      <c r="D310" s="89">
        <v>4317</v>
      </c>
      <c r="E310" s="89"/>
      <c r="F310" s="89"/>
      <c r="G310" s="87" t="str">
        <f t="shared" si="4"/>
        <v>113110103'= VIAGENS - ADIANTAMENTO13480919758</v>
      </c>
      <c r="H310" s="87" t="str">
        <f>VLOOKUP(Tabela1[[#This Row],[CONCATENAR]],'Classificações - Demonstrações'!$A$5:$C$46003,2,)</f>
        <v>Outros Créditos</v>
      </c>
      <c r="I310" s="87"/>
    </row>
    <row r="311" spans="1:9" ht="12.75" customHeight="1" x14ac:dyDescent="0.2">
      <c r="A311" s="94" t="s">
        <v>5269</v>
      </c>
      <c r="B311" s="87" t="s">
        <v>44</v>
      </c>
      <c r="C311" s="87" t="s">
        <v>234</v>
      </c>
      <c r="D311" s="89">
        <v>47491</v>
      </c>
      <c r="E311" s="89"/>
      <c r="F311" s="89"/>
      <c r="G311" s="87" t="str">
        <f t="shared" si="4"/>
        <v>113110103'= VIAGENS - ADIANTAMENTO13480920764</v>
      </c>
      <c r="H311" s="87" t="str">
        <f>VLOOKUP(Tabela1[[#This Row],[CONCATENAR]],'Classificações - Demonstrações'!$A$5:$C$46003,2,)</f>
        <v>Outros Créditos</v>
      </c>
      <c r="I311" s="87"/>
    </row>
    <row r="312" spans="1:9" ht="12.75" customHeight="1" x14ac:dyDescent="0.2">
      <c r="A312" s="94" t="s">
        <v>5269</v>
      </c>
      <c r="B312" s="87" t="s">
        <v>44</v>
      </c>
      <c r="C312" s="87" t="s">
        <v>235</v>
      </c>
      <c r="D312" s="89">
        <v>1386</v>
      </c>
      <c r="E312" s="89"/>
      <c r="F312" s="89"/>
      <c r="G312" s="87" t="str">
        <f t="shared" si="4"/>
        <v>113110103'= VIAGENS - ADIANTAMENTO13482043701</v>
      </c>
      <c r="H312" s="87" t="str">
        <f>VLOOKUP(Tabela1[[#This Row],[CONCATENAR]],'Classificações - Demonstrações'!$A$5:$C$46003,2,)</f>
        <v>Outros Créditos</v>
      </c>
      <c r="I312" s="87"/>
    </row>
    <row r="313" spans="1:9" ht="12.75" customHeight="1" x14ac:dyDescent="0.2">
      <c r="A313" s="94" t="s">
        <v>5269</v>
      </c>
      <c r="B313" s="87" t="s">
        <v>44</v>
      </c>
      <c r="C313" s="87" t="s">
        <v>236</v>
      </c>
      <c r="D313" s="89">
        <v>2057</v>
      </c>
      <c r="E313" s="89"/>
      <c r="F313" s="89"/>
      <c r="G313" s="87" t="str">
        <f t="shared" si="4"/>
        <v>113110103'= VIAGENS - ADIANTAMENTO13484367784</v>
      </c>
      <c r="H313" s="87" t="str">
        <f>VLOOKUP(Tabela1[[#This Row],[CONCATENAR]],'Classificações - Demonstrações'!$A$5:$C$46003,2,)</f>
        <v>Outros Créditos</v>
      </c>
      <c r="I313" s="87"/>
    </row>
    <row r="314" spans="1:9" ht="12.75" customHeight="1" x14ac:dyDescent="0.2">
      <c r="A314" s="94" t="s">
        <v>5269</v>
      </c>
      <c r="B314" s="87" t="s">
        <v>44</v>
      </c>
      <c r="C314" s="87" t="s">
        <v>237</v>
      </c>
      <c r="D314" s="89">
        <v>30004</v>
      </c>
      <c r="E314" s="88"/>
      <c r="F314" s="88"/>
      <c r="G314" s="87" t="str">
        <f t="shared" si="4"/>
        <v>113110103'= VIAGENS - ADIANTAMENTO13497946788</v>
      </c>
      <c r="H314" s="87" t="str">
        <f>VLOOKUP(Tabela1[[#This Row],[CONCATENAR]],'Classificações - Demonstrações'!$A$5:$C$46003,2,)</f>
        <v>Outros Créditos</v>
      </c>
      <c r="I314" s="87"/>
    </row>
    <row r="315" spans="1:9" ht="12.75" customHeight="1" x14ac:dyDescent="0.2">
      <c r="A315" s="94" t="s">
        <v>5269</v>
      </c>
      <c r="B315" s="87" t="s">
        <v>44</v>
      </c>
      <c r="C315" s="87" t="s">
        <v>238</v>
      </c>
      <c r="D315" s="89">
        <v>11121.5</v>
      </c>
      <c r="E315" s="89"/>
      <c r="F315" s="89"/>
      <c r="G315" s="87" t="str">
        <f t="shared" si="4"/>
        <v>113110103'= VIAGENS - ADIANTAMENTO13533250750</v>
      </c>
      <c r="H315" s="87" t="str">
        <f>VLOOKUP(Tabela1[[#This Row],[CONCATENAR]],'Classificações - Demonstrações'!$A$5:$C$46003,2,)</f>
        <v>Outros Créditos</v>
      </c>
      <c r="I315" s="87"/>
    </row>
    <row r="316" spans="1:9" ht="12.75" customHeight="1" x14ac:dyDescent="0.2">
      <c r="A316" s="94" t="s">
        <v>5269</v>
      </c>
      <c r="B316" s="87" t="s">
        <v>44</v>
      </c>
      <c r="C316" s="87" t="s">
        <v>239</v>
      </c>
      <c r="D316" s="88">
        <v>43333</v>
      </c>
      <c r="E316" s="89"/>
      <c r="F316" s="89"/>
      <c r="G316" s="87" t="str">
        <f t="shared" si="4"/>
        <v>113110103'= VIAGENS - ADIANTAMENTO13668542767</v>
      </c>
      <c r="H316" s="87" t="str">
        <f>VLOOKUP(Tabela1[[#This Row],[CONCATENAR]],'Classificações - Demonstrações'!$A$5:$C$46003,2,)</f>
        <v>Outros Créditos</v>
      </c>
      <c r="I316" s="87"/>
    </row>
    <row r="317" spans="1:9" ht="12.75" customHeight="1" x14ac:dyDescent="0.2">
      <c r="A317" s="94" t="s">
        <v>5269</v>
      </c>
      <c r="B317" s="87" t="s">
        <v>44</v>
      </c>
      <c r="C317" s="87" t="s">
        <v>240</v>
      </c>
      <c r="D317" s="89">
        <v>516</v>
      </c>
      <c r="E317" s="88"/>
      <c r="F317" s="88"/>
      <c r="G317" s="87" t="str">
        <f t="shared" si="4"/>
        <v>113110103'= VIAGENS - ADIANTAMENTO13741060704</v>
      </c>
      <c r="H317" s="87" t="str">
        <f>VLOOKUP(Tabela1[[#This Row],[CONCATENAR]],'Classificações - Demonstrações'!$A$5:$C$46003,2,)</f>
        <v>Outros Créditos</v>
      </c>
      <c r="I317" s="87"/>
    </row>
    <row r="318" spans="1:9" ht="12.75" customHeight="1" x14ac:dyDescent="0.2">
      <c r="A318" s="94" t="s">
        <v>5269</v>
      </c>
      <c r="B318" s="87" t="s">
        <v>44</v>
      </c>
      <c r="C318" s="87" t="s">
        <v>5137</v>
      </c>
      <c r="D318" s="89">
        <v>1400</v>
      </c>
      <c r="E318" s="89"/>
      <c r="F318" s="89"/>
      <c r="G318" s="87" t="str">
        <f t="shared" si="4"/>
        <v>113110103'= VIAGENS - ADIANTAMENTO13786295743</v>
      </c>
      <c r="H318" s="87" t="str">
        <f>VLOOKUP(Tabela1[[#This Row],[CONCATENAR]],'Classificações - Demonstrações'!$A$5:$C$46003,2,)</f>
        <v>Outros Créditos</v>
      </c>
      <c r="I318" s="87"/>
    </row>
    <row r="319" spans="1:9" ht="12.75" customHeight="1" x14ac:dyDescent="0.2">
      <c r="A319" s="94" t="s">
        <v>5269</v>
      </c>
      <c r="B319" s="87" t="s">
        <v>44</v>
      </c>
      <c r="C319" s="87" t="s">
        <v>241</v>
      </c>
      <c r="D319" s="89">
        <v>22303</v>
      </c>
      <c r="E319" s="89"/>
      <c r="F319" s="89"/>
      <c r="G319" s="87" t="str">
        <f t="shared" si="4"/>
        <v>113110103'= VIAGENS - ADIANTAMENTO13874852709</v>
      </c>
      <c r="H319" s="87" t="str">
        <f>VLOOKUP(Tabela1[[#This Row],[CONCATENAR]],'Classificações - Demonstrações'!$A$5:$C$46003,2,)</f>
        <v>Outros Créditos</v>
      </c>
      <c r="I319" s="87"/>
    </row>
    <row r="320" spans="1:9" ht="12.75" customHeight="1" x14ac:dyDescent="0.2">
      <c r="A320" s="94" t="s">
        <v>5269</v>
      </c>
      <c r="B320" s="87" t="s">
        <v>44</v>
      </c>
      <c r="C320" s="87" t="s">
        <v>242</v>
      </c>
      <c r="D320" s="89">
        <v>44539.5</v>
      </c>
      <c r="E320" s="89"/>
      <c r="F320" s="89"/>
      <c r="G320" s="87" t="str">
        <f t="shared" si="4"/>
        <v>113110103'= VIAGENS - ADIANTAMENTO13900181721</v>
      </c>
      <c r="H320" s="87" t="str">
        <f>VLOOKUP(Tabela1[[#This Row],[CONCATENAR]],'Classificações - Demonstrações'!$A$5:$C$46003,2,)</f>
        <v>Outros Créditos</v>
      </c>
      <c r="I320" s="87"/>
    </row>
    <row r="321" spans="1:9" ht="12.75" customHeight="1" x14ac:dyDescent="0.2">
      <c r="A321" s="94" t="s">
        <v>5269</v>
      </c>
      <c r="B321" s="87" t="s">
        <v>44</v>
      </c>
      <c r="C321" s="87" t="s">
        <v>243</v>
      </c>
      <c r="D321" s="89">
        <v>3644</v>
      </c>
      <c r="E321" s="89"/>
      <c r="F321" s="89"/>
      <c r="G321" s="87" t="str">
        <f t="shared" si="4"/>
        <v>113110103'= VIAGENS - ADIANTAMENTO13955154769</v>
      </c>
      <c r="H321" s="87" t="str">
        <f>VLOOKUP(Tabela1[[#This Row],[CONCATENAR]],'Classificações - Demonstrações'!$A$5:$C$46003,2,)</f>
        <v>Outros Créditos</v>
      </c>
      <c r="I321" s="87"/>
    </row>
    <row r="322" spans="1:9" ht="12.75" customHeight="1" x14ac:dyDescent="0.2">
      <c r="A322" s="94" t="s">
        <v>5269</v>
      </c>
      <c r="B322" s="87" t="s">
        <v>44</v>
      </c>
      <c r="C322" s="87" t="s">
        <v>244</v>
      </c>
      <c r="D322" s="89">
        <v>2884.8</v>
      </c>
      <c r="E322" s="88"/>
      <c r="F322" s="88"/>
      <c r="G322" s="87" t="str">
        <f t="shared" si="4"/>
        <v>113110103'= VIAGENS - ADIANTAMENTO13967293726</v>
      </c>
      <c r="H322" s="87" t="str">
        <f>VLOOKUP(Tabela1[[#This Row],[CONCATENAR]],'Classificações - Demonstrações'!$A$5:$C$46003,2,)</f>
        <v>Outros Créditos</v>
      </c>
      <c r="I322" s="87"/>
    </row>
    <row r="323" spans="1:9" ht="12.75" customHeight="1" x14ac:dyDescent="0.2">
      <c r="A323" s="94" t="s">
        <v>5269</v>
      </c>
      <c r="B323" s="87" t="s">
        <v>44</v>
      </c>
      <c r="C323" s="87" t="s">
        <v>245</v>
      </c>
      <c r="D323" s="89">
        <v>25763.96</v>
      </c>
      <c r="E323" s="89"/>
      <c r="F323" s="89"/>
      <c r="G323" s="87" t="str">
        <f t="shared" si="4"/>
        <v>113110103'= VIAGENS - ADIANTAMENTO13986385797</v>
      </c>
      <c r="H323" s="87" t="str">
        <f>VLOOKUP(Tabela1[[#This Row],[CONCATENAR]],'Classificações - Demonstrações'!$A$5:$C$46003,2,)</f>
        <v>Outros Créditos</v>
      </c>
      <c r="I323" s="87"/>
    </row>
    <row r="324" spans="1:9" ht="12.75" customHeight="1" x14ac:dyDescent="0.2">
      <c r="A324" s="94" t="s">
        <v>5269</v>
      </c>
      <c r="B324" s="87" t="s">
        <v>44</v>
      </c>
      <c r="C324" s="87" t="s">
        <v>246</v>
      </c>
      <c r="D324" s="89">
        <v>516</v>
      </c>
      <c r="E324" s="89"/>
      <c r="F324" s="89"/>
      <c r="G324" s="87" t="str">
        <f t="shared" si="4"/>
        <v>113110103'= VIAGENS - ADIANTAMENTO13997958726</v>
      </c>
      <c r="H324" s="87" t="str">
        <f>VLOOKUP(Tabela1[[#This Row],[CONCATENAR]],'Classificações - Demonstrações'!$A$5:$C$46003,2,)</f>
        <v>Outros Créditos</v>
      </c>
      <c r="I324" s="87"/>
    </row>
    <row r="325" spans="1:9" ht="12.75" customHeight="1" x14ac:dyDescent="0.2">
      <c r="A325" s="94" t="s">
        <v>5269</v>
      </c>
      <c r="B325" s="87" t="s">
        <v>44</v>
      </c>
      <c r="C325" s="87" t="s">
        <v>247</v>
      </c>
      <c r="D325" s="89">
        <v>8431</v>
      </c>
      <c r="E325" s="89"/>
      <c r="F325" s="89"/>
      <c r="G325" s="87" t="str">
        <f t="shared" ref="G325:G388" si="5">CONCATENATE(A325,B325,C325)</f>
        <v>113110103'= VIAGENS - ADIANTAMENTO14010890703</v>
      </c>
      <c r="H325" s="87" t="str">
        <f>VLOOKUP(Tabela1[[#This Row],[CONCATENAR]],'Classificações - Demonstrações'!$A$5:$C$46003,2,)</f>
        <v>Outros Créditos</v>
      </c>
      <c r="I325" s="87"/>
    </row>
    <row r="326" spans="1:9" ht="12.75" customHeight="1" x14ac:dyDescent="0.2">
      <c r="A326" s="94" t="s">
        <v>5269</v>
      </c>
      <c r="B326" s="87" t="s">
        <v>44</v>
      </c>
      <c r="C326" s="87" t="s">
        <v>248</v>
      </c>
      <c r="D326" s="89">
        <v>30221</v>
      </c>
      <c r="E326" s="89"/>
      <c r="F326" s="89"/>
      <c r="G326" s="87" t="str">
        <f t="shared" si="5"/>
        <v>113110103'= VIAGENS - ADIANTAMENTO14026860728</v>
      </c>
      <c r="H326" s="87" t="str">
        <f>VLOOKUP(Tabela1[[#This Row],[CONCATENAR]],'Classificações - Demonstrações'!$A$5:$C$46003,2,)</f>
        <v>Outros Créditos</v>
      </c>
      <c r="I326" s="87"/>
    </row>
    <row r="327" spans="1:9" ht="12.75" customHeight="1" x14ac:dyDescent="0.2">
      <c r="A327" s="94" t="s">
        <v>5269</v>
      </c>
      <c r="B327" s="87" t="s">
        <v>44</v>
      </c>
      <c r="C327" s="87" t="s">
        <v>6002</v>
      </c>
      <c r="D327" s="89">
        <v>2188</v>
      </c>
      <c r="E327" s="89"/>
      <c r="F327" s="89"/>
      <c r="G327" s="87" t="str">
        <f t="shared" si="5"/>
        <v>113110103'= VIAGENS - ADIANTAMENTO14056482799</v>
      </c>
      <c r="H327" s="87" t="str">
        <f>VLOOKUP(Tabela1[[#This Row],[CONCATENAR]],'Classificações - Demonstrações'!$A$5:$C$46003,2,)</f>
        <v>Outros Créditos</v>
      </c>
      <c r="I327" s="87"/>
    </row>
    <row r="328" spans="1:9" ht="12.75" customHeight="1" x14ac:dyDescent="0.2">
      <c r="A328" s="94" t="s">
        <v>5269</v>
      </c>
      <c r="B328" s="87" t="s">
        <v>44</v>
      </c>
      <c r="C328" s="87" t="s">
        <v>249</v>
      </c>
      <c r="D328" s="89">
        <v>33690.5</v>
      </c>
      <c r="E328" s="88"/>
      <c r="F328" s="88"/>
      <c r="G328" s="87" t="str">
        <f t="shared" si="5"/>
        <v>113110103'= VIAGENS - ADIANTAMENTO14061197762</v>
      </c>
      <c r="H328" s="87" t="str">
        <f>VLOOKUP(Tabela1[[#This Row],[CONCATENAR]],'Classificações - Demonstrações'!$A$5:$C$46003,2,)</f>
        <v>Outros Créditos</v>
      </c>
      <c r="I328" s="87"/>
    </row>
    <row r="329" spans="1:9" ht="12.75" customHeight="1" x14ac:dyDescent="0.2">
      <c r="A329" s="94" t="s">
        <v>5269</v>
      </c>
      <c r="B329" s="87" t="s">
        <v>44</v>
      </c>
      <c r="C329" s="87" t="s">
        <v>250</v>
      </c>
      <c r="D329" s="89">
        <v>21488</v>
      </c>
      <c r="E329" s="89"/>
      <c r="F329" s="89"/>
      <c r="G329" s="87" t="str">
        <f t="shared" si="5"/>
        <v>113110103'= VIAGENS - ADIANTAMENTO14075506754</v>
      </c>
      <c r="H329" s="87" t="str">
        <f>VLOOKUP(Tabela1[[#This Row],[CONCATENAR]],'Classificações - Demonstrações'!$A$5:$C$46003,2,)</f>
        <v>Outros Créditos</v>
      </c>
      <c r="I329" s="87"/>
    </row>
    <row r="330" spans="1:9" ht="12.75" customHeight="1" x14ac:dyDescent="0.2">
      <c r="A330" s="94" t="s">
        <v>5269</v>
      </c>
      <c r="B330" s="87" t="s">
        <v>44</v>
      </c>
      <c r="C330" s="87" t="s">
        <v>6003</v>
      </c>
      <c r="D330" s="89">
        <v>1520</v>
      </c>
      <c r="E330" s="88"/>
      <c r="F330" s="88"/>
      <c r="G330" s="87" t="str">
        <f t="shared" si="5"/>
        <v>113110103'= VIAGENS - ADIANTAMENTO14109781760</v>
      </c>
      <c r="H330" s="87" t="str">
        <f>VLOOKUP(Tabela1[[#This Row],[CONCATENAR]],'Classificações - Demonstrações'!$A$5:$C$46003,2,)</f>
        <v>Outros Créditos</v>
      </c>
      <c r="I330" s="87"/>
    </row>
    <row r="331" spans="1:9" ht="12.75" customHeight="1" x14ac:dyDescent="0.2">
      <c r="A331" s="94" t="s">
        <v>5269</v>
      </c>
      <c r="B331" s="87" t="s">
        <v>44</v>
      </c>
      <c r="C331" s="87" t="s">
        <v>251</v>
      </c>
      <c r="D331" s="89">
        <v>30754.5</v>
      </c>
      <c r="E331" s="89"/>
      <c r="F331" s="89"/>
      <c r="G331" s="87" t="str">
        <f t="shared" si="5"/>
        <v>113110103'= VIAGENS - ADIANTAMENTO14134212707</v>
      </c>
      <c r="H331" s="87" t="str">
        <f>VLOOKUP(Tabela1[[#This Row],[CONCATENAR]],'Classificações - Demonstrações'!$A$5:$C$46003,2,)</f>
        <v>Outros Créditos</v>
      </c>
      <c r="I331" s="87"/>
    </row>
    <row r="332" spans="1:9" ht="12.75" customHeight="1" x14ac:dyDescent="0.2">
      <c r="A332" s="94" t="s">
        <v>5269</v>
      </c>
      <c r="B332" s="87" t="s">
        <v>44</v>
      </c>
      <c r="C332" s="87" t="s">
        <v>252</v>
      </c>
      <c r="D332" s="89">
        <v>1439</v>
      </c>
      <c r="E332" s="88"/>
      <c r="F332" s="88"/>
      <c r="G332" s="87" t="str">
        <f t="shared" si="5"/>
        <v>113110103'= VIAGENS - ADIANTAMENTO14160946798</v>
      </c>
      <c r="H332" s="87" t="str">
        <f>VLOOKUP(Tabela1[[#This Row],[CONCATENAR]],'Classificações - Demonstrações'!$A$5:$C$46003,2,)</f>
        <v>Outros Créditos</v>
      </c>
      <c r="I332" s="87"/>
    </row>
    <row r="333" spans="1:9" ht="12.75" customHeight="1" x14ac:dyDescent="0.2">
      <c r="A333" s="94" t="s">
        <v>5269</v>
      </c>
      <c r="B333" s="87" t="s">
        <v>44</v>
      </c>
      <c r="C333" s="87" t="s">
        <v>253</v>
      </c>
      <c r="D333" s="89">
        <v>64341.5</v>
      </c>
      <c r="E333" s="89"/>
      <c r="F333" s="89"/>
      <c r="G333" s="87" t="str">
        <f t="shared" si="5"/>
        <v>113110103'= VIAGENS - ADIANTAMENTO14445540773</v>
      </c>
      <c r="H333" s="87" t="str">
        <f>VLOOKUP(Tabela1[[#This Row],[CONCATENAR]],'Classificações - Demonstrações'!$A$5:$C$46003,2,)</f>
        <v>Outros Créditos</v>
      </c>
      <c r="I333" s="87"/>
    </row>
    <row r="334" spans="1:9" ht="12.75" customHeight="1" x14ac:dyDescent="0.2">
      <c r="A334" s="94" t="s">
        <v>5269</v>
      </c>
      <c r="B334" s="87" t="s">
        <v>44</v>
      </c>
      <c r="C334" s="87" t="s">
        <v>254</v>
      </c>
      <c r="D334" s="89">
        <v>33652</v>
      </c>
      <c r="E334" s="89"/>
      <c r="F334" s="89"/>
      <c r="G334" s="87" t="str">
        <f t="shared" si="5"/>
        <v>113110103'= VIAGENS - ADIANTAMENTO14449976703</v>
      </c>
      <c r="H334" s="87" t="str">
        <f>VLOOKUP(Tabela1[[#This Row],[CONCATENAR]],'Classificações - Demonstrações'!$A$5:$C$46003,2,)</f>
        <v>Outros Créditos</v>
      </c>
      <c r="I334" s="87"/>
    </row>
    <row r="335" spans="1:9" ht="12.75" customHeight="1" x14ac:dyDescent="0.2">
      <c r="A335" s="94" t="s">
        <v>5269</v>
      </c>
      <c r="B335" s="87" t="s">
        <v>44</v>
      </c>
      <c r="C335" s="87" t="s">
        <v>255</v>
      </c>
      <c r="D335" s="89">
        <v>10091</v>
      </c>
      <c r="E335" s="88"/>
      <c r="F335" s="88"/>
      <c r="G335" s="87" t="str">
        <f t="shared" si="5"/>
        <v>113110103'= VIAGENS - ADIANTAMENTO14455754776</v>
      </c>
      <c r="H335" s="87" t="str">
        <f>VLOOKUP(Tabela1[[#This Row],[CONCATENAR]],'Classificações - Demonstrações'!$A$5:$C$46003,2,)</f>
        <v>Outros Créditos</v>
      </c>
      <c r="I335" s="87"/>
    </row>
    <row r="336" spans="1:9" ht="12.75" customHeight="1" x14ac:dyDescent="0.2">
      <c r="A336" s="94" t="s">
        <v>5269</v>
      </c>
      <c r="B336" s="87" t="s">
        <v>44</v>
      </c>
      <c r="C336" s="87" t="s">
        <v>256</v>
      </c>
      <c r="D336" s="89">
        <v>939</v>
      </c>
      <c r="E336" s="89"/>
      <c r="F336" s="89"/>
      <c r="G336" s="87" t="str">
        <f t="shared" si="5"/>
        <v>113110103'= VIAGENS - ADIANTAMENTO14460027720</v>
      </c>
      <c r="H336" s="87" t="str">
        <f>VLOOKUP(Tabela1[[#This Row],[CONCATENAR]],'Classificações - Demonstrações'!$A$5:$C$46003,2,)</f>
        <v>Outros Créditos</v>
      </c>
      <c r="I336" s="87"/>
    </row>
    <row r="337" spans="1:9" ht="12.75" customHeight="1" x14ac:dyDescent="0.2">
      <c r="A337" s="94" t="s">
        <v>5269</v>
      </c>
      <c r="B337" s="87" t="s">
        <v>44</v>
      </c>
      <c r="C337" s="87" t="s">
        <v>257</v>
      </c>
      <c r="D337" s="89">
        <v>41435</v>
      </c>
      <c r="E337" s="88"/>
      <c r="F337" s="88"/>
      <c r="G337" s="87" t="str">
        <f t="shared" si="5"/>
        <v>113110103'= VIAGENS - ADIANTAMENTO14461291790</v>
      </c>
      <c r="H337" s="87" t="str">
        <f>VLOOKUP(Tabela1[[#This Row],[CONCATENAR]],'Classificações - Demonstrações'!$A$5:$C$46003,2,)</f>
        <v>Outros Créditos</v>
      </c>
      <c r="I337" s="87"/>
    </row>
    <row r="338" spans="1:9" ht="12.75" customHeight="1" x14ac:dyDescent="0.2">
      <c r="A338" s="94" t="s">
        <v>5269</v>
      </c>
      <c r="B338" s="87" t="s">
        <v>44</v>
      </c>
      <c r="C338" s="87" t="s">
        <v>5771</v>
      </c>
      <c r="D338" s="89">
        <v>3328</v>
      </c>
      <c r="E338" s="88"/>
      <c r="F338" s="88"/>
      <c r="G338" s="87" t="str">
        <f t="shared" si="5"/>
        <v>113110103'= VIAGENS - ADIANTAMENTO14478855897</v>
      </c>
      <c r="H338" s="87" t="str">
        <f>VLOOKUP(Tabela1[[#This Row],[CONCATENAR]],'Classificações - Demonstrações'!$A$5:$C$46003,2,)</f>
        <v>Outros Créditos</v>
      </c>
      <c r="I338" s="87"/>
    </row>
    <row r="339" spans="1:9" ht="12.75" customHeight="1" x14ac:dyDescent="0.2">
      <c r="A339" s="94" t="s">
        <v>5269</v>
      </c>
      <c r="B339" s="87" t="s">
        <v>44</v>
      </c>
      <c r="C339" s="87" t="s">
        <v>258</v>
      </c>
      <c r="D339" s="89">
        <v>28924.5</v>
      </c>
      <c r="E339" s="89"/>
      <c r="F339" s="89"/>
      <c r="G339" s="87" t="str">
        <f t="shared" si="5"/>
        <v>113110103'= VIAGENS - ADIANTAMENTO14483941712</v>
      </c>
      <c r="H339" s="87" t="str">
        <f>VLOOKUP(Tabela1[[#This Row],[CONCATENAR]],'Classificações - Demonstrações'!$A$5:$C$46003,2,)</f>
        <v>Outros Créditos</v>
      </c>
      <c r="I339" s="87"/>
    </row>
    <row r="340" spans="1:9" ht="12.75" customHeight="1" x14ac:dyDescent="0.2">
      <c r="A340" s="94" t="s">
        <v>5269</v>
      </c>
      <c r="B340" s="87" t="s">
        <v>44</v>
      </c>
      <c r="C340" s="87" t="s">
        <v>259</v>
      </c>
      <c r="D340" s="89">
        <v>2087</v>
      </c>
      <c r="E340" s="89"/>
      <c r="F340" s="89"/>
      <c r="G340" s="87" t="str">
        <f t="shared" si="5"/>
        <v>113110103'= VIAGENS - ADIANTAMENTO14489778783</v>
      </c>
      <c r="H340" s="87" t="str">
        <f>VLOOKUP(Tabela1[[#This Row],[CONCATENAR]],'Classificações - Demonstrações'!$A$5:$C$46003,2,)</f>
        <v>Outros Créditos</v>
      </c>
      <c r="I340" s="87"/>
    </row>
    <row r="341" spans="1:9" ht="12.75" customHeight="1" x14ac:dyDescent="0.2">
      <c r="A341" s="94" t="s">
        <v>5269</v>
      </c>
      <c r="B341" s="87" t="s">
        <v>44</v>
      </c>
      <c r="C341" s="87" t="s">
        <v>260</v>
      </c>
      <c r="D341" s="89">
        <v>37107.5</v>
      </c>
      <c r="E341" s="89"/>
      <c r="F341" s="89"/>
      <c r="G341" s="87" t="str">
        <f t="shared" si="5"/>
        <v>113110103'= VIAGENS - ADIANTAMENTO14513251778</v>
      </c>
      <c r="H341" s="87" t="str">
        <f>VLOOKUP(Tabela1[[#This Row],[CONCATENAR]],'Classificações - Demonstrações'!$A$5:$C$46003,2,)</f>
        <v>Outros Créditos</v>
      </c>
      <c r="I341" s="87"/>
    </row>
    <row r="342" spans="1:9" ht="12.75" customHeight="1" x14ac:dyDescent="0.2">
      <c r="A342" s="94" t="s">
        <v>5269</v>
      </c>
      <c r="B342" s="87" t="s">
        <v>44</v>
      </c>
      <c r="C342" s="87" t="s">
        <v>261</v>
      </c>
      <c r="D342" s="89">
        <v>53117</v>
      </c>
      <c r="E342" s="89"/>
      <c r="F342" s="89"/>
      <c r="G342" s="87" t="str">
        <f t="shared" si="5"/>
        <v>113110103'= VIAGENS - ADIANTAMENTO14515368796</v>
      </c>
      <c r="H342" s="87" t="str">
        <f>VLOOKUP(Tabela1[[#This Row],[CONCATENAR]],'Classificações - Demonstrações'!$A$5:$C$46003,2,)</f>
        <v>Outros Créditos</v>
      </c>
      <c r="I342" s="87"/>
    </row>
    <row r="343" spans="1:9" ht="12.75" customHeight="1" x14ac:dyDescent="0.2">
      <c r="A343" s="94" t="s">
        <v>5269</v>
      </c>
      <c r="B343" s="87" t="s">
        <v>44</v>
      </c>
      <c r="C343" s="87" t="s">
        <v>262</v>
      </c>
      <c r="D343" s="89">
        <v>30647.5</v>
      </c>
      <c r="E343" s="88"/>
      <c r="F343" s="88"/>
      <c r="G343" s="87" t="str">
        <f t="shared" si="5"/>
        <v>113110103'= VIAGENS - ADIANTAMENTO14524145729</v>
      </c>
      <c r="H343" s="87" t="str">
        <f>VLOOKUP(Tabela1[[#This Row],[CONCATENAR]],'Classificações - Demonstrações'!$A$5:$C$46003,2,)</f>
        <v>Outros Créditos</v>
      </c>
      <c r="I343" s="87"/>
    </row>
    <row r="344" spans="1:9" ht="12.75" customHeight="1" x14ac:dyDescent="0.2">
      <c r="A344" s="94" t="s">
        <v>5269</v>
      </c>
      <c r="B344" s="87" t="s">
        <v>44</v>
      </c>
      <c r="C344" s="87" t="s">
        <v>263</v>
      </c>
      <c r="D344" s="89">
        <v>69531.5</v>
      </c>
      <c r="E344" s="88"/>
      <c r="F344" s="88"/>
      <c r="G344" s="87" t="str">
        <f t="shared" si="5"/>
        <v>113110103'= VIAGENS - ADIANTAMENTO14624773721</v>
      </c>
      <c r="H344" s="87" t="str">
        <f>VLOOKUP(Tabela1[[#This Row],[CONCATENAR]],'Classificações - Demonstrações'!$A$5:$C$46003,2,)</f>
        <v>Outros Créditos</v>
      </c>
      <c r="I344" s="87"/>
    </row>
    <row r="345" spans="1:9" ht="12.75" customHeight="1" x14ac:dyDescent="0.2">
      <c r="A345" s="94" t="s">
        <v>5269</v>
      </c>
      <c r="B345" s="87" t="s">
        <v>44</v>
      </c>
      <c r="C345" s="87" t="s">
        <v>264</v>
      </c>
      <c r="D345" s="89">
        <v>3715</v>
      </c>
      <c r="E345" s="89"/>
      <c r="F345" s="89"/>
      <c r="G345" s="87" t="str">
        <f t="shared" si="5"/>
        <v>113110103'= VIAGENS - ADIANTAMENTO16175439775</v>
      </c>
      <c r="H345" s="87" t="str">
        <f>VLOOKUP(Tabela1[[#This Row],[CONCATENAR]],'Classificações - Demonstrações'!$A$5:$C$46003,2,)</f>
        <v>Outros Créditos</v>
      </c>
      <c r="I345" s="87"/>
    </row>
    <row r="346" spans="1:9" ht="12.75" customHeight="1" x14ac:dyDescent="0.2">
      <c r="A346" s="94" t="s">
        <v>5269</v>
      </c>
      <c r="B346" s="87" t="s">
        <v>44</v>
      </c>
      <c r="C346" s="87" t="s">
        <v>265</v>
      </c>
      <c r="D346" s="89">
        <v>0</v>
      </c>
      <c r="E346" s="89"/>
      <c r="F346" s="89"/>
      <c r="G346" s="87" t="str">
        <f t="shared" si="5"/>
        <v>113110103'= VIAGENS - ADIANTAMENTO25663975896</v>
      </c>
      <c r="H346" s="87" t="str">
        <f>VLOOKUP(Tabela1[[#This Row],[CONCATENAR]],'Classificações - Demonstrações'!$A$5:$C$46003,2,)</f>
        <v>Outros Créditos</v>
      </c>
      <c r="I346" s="87"/>
    </row>
    <row r="347" spans="1:9" ht="12.75" customHeight="1" x14ac:dyDescent="0.2">
      <c r="A347" s="94" t="s">
        <v>5269</v>
      </c>
      <c r="B347" s="87" t="s">
        <v>44</v>
      </c>
      <c r="C347" s="87" t="s">
        <v>266</v>
      </c>
      <c r="D347" s="89">
        <v>5640</v>
      </c>
      <c r="E347" s="89"/>
      <c r="F347" s="89"/>
      <c r="G347" s="87" t="str">
        <f t="shared" si="5"/>
        <v>113110103'= VIAGENS - ADIANTAMENTO30701821787</v>
      </c>
      <c r="H347" s="87" t="str">
        <f>VLOOKUP(Tabela1[[#This Row],[CONCATENAR]],'Classificações - Demonstrações'!$A$5:$C$46003,2,)</f>
        <v>Outros Créditos</v>
      </c>
      <c r="I347" s="87"/>
    </row>
    <row r="348" spans="1:9" ht="12.75" customHeight="1" x14ac:dyDescent="0.2">
      <c r="A348" s="94" t="s">
        <v>5269</v>
      </c>
      <c r="B348" s="87" t="s">
        <v>44</v>
      </c>
      <c r="C348" s="87" t="s">
        <v>4618</v>
      </c>
      <c r="D348" s="89">
        <v>15230.5</v>
      </c>
      <c r="E348" s="88"/>
      <c r="F348" s="88"/>
      <c r="G348" s="87" t="str">
        <f t="shared" si="5"/>
        <v>113110103'= VIAGENS - ADIANTAMENTO31289472874</v>
      </c>
      <c r="H348" s="87" t="str">
        <f>VLOOKUP(Tabela1[[#This Row],[CONCATENAR]],'Classificações - Demonstrações'!$A$5:$C$46003,2,)</f>
        <v>Outros Créditos</v>
      </c>
      <c r="I348" s="87"/>
    </row>
    <row r="349" spans="1:9" ht="12.75" customHeight="1" x14ac:dyDescent="0.2">
      <c r="A349" s="94" t="s">
        <v>5269</v>
      </c>
      <c r="B349" s="87" t="s">
        <v>44</v>
      </c>
      <c r="C349" s="87" t="s">
        <v>267</v>
      </c>
      <c r="D349" s="89">
        <v>2893.14</v>
      </c>
      <c r="E349" s="89"/>
      <c r="F349" s="89"/>
      <c r="G349" s="87" t="str">
        <f t="shared" si="5"/>
        <v>113110103'= VIAGENS - ADIANTAMENTO31779108800</v>
      </c>
      <c r="H349" s="87" t="str">
        <f>VLOOKUP(Tabela1[[#This Row],[CONCATENAR]],'Classificações - Demonstrações'!$A$5:$C$46003,2,)</f>
        <v>Outros Créditos</v>
      </c>
      <c r="I349" s="87"/>
    </row>
    <row r="350" spans="1:9" ht="12.75" customHeight="1" x14ac:dyDescent="0.2">
      <c r="A350" s="94" t="s">
        <v>5269</v>
      </c>
      <c r="B350" s="87" t="s">
        <v>44</v>
      </c>
      <c r="C350" s="87" t="s">
        <v>6004</v>
      </c>
      <c r="D350" s="89">
        <v>5150</v>
      </c>
      <c r="E350" s="89"/>
      <c r="F350" s="89"/>
      <c r="G350" s="87" t="str">
        <f t="shared" si="5"/>
        <v>113110103'= VIAGENS - ADIANTAMENTO35593067600</v>
      </c>
      <c r="H350" s="87" t="str">
        <f>VLOOKUP(Tabela1[[#This Row],[CONCATENAR]],'Classificações - Demonstrações'!$A$5:$C$46003,2,)</f>
        <v>Outros Créditos</v>
      </c>
      <c r="I350" s="87"/>
    </row>
    <row r="351" spans="1:9" ht="12.75" customHeight="1" x14ac:dyDescent="0.2">
      <c r="A351" s="94" t="s">
        <v>5269</v>
      </c>
      <c r="B351" s="87" t="s">
        <v>44</v>
      </c>
      <c r="C351" s="87" t="s">
        <v>5138</v>
      </c>
      <c r="D351" s="89">
        <v>1000</v>
      </c>
      <c r="E351" s="88"/>
      <c r="F351" s="88"/>
      <c r="G351" s="87" t="str">
        <f t="shared" si="5"/>
        <v>113110103'= VIAGENS - ADIANTAMENTO38387239704</v>
      </c>
      <c r="H351" s="87" t="str">
        <f>VLOOKUP(Tabela1[[#This Row],[CONCATENAR]],'Classificações - Demonstrações'!$A$5:$C$46003,2,)</f>
        <v>Outros Créditos</v>
      </c>
      <c r="I351" s="87"/>
    </row>
    <row r="352" spans="1:9" ht="12.75" customHeight="1" x14ac:dyDescent="0.2">
      <c r="A352" s="94" t="s">
        <v>5269</v>
      </c>
      <c r="B352" s="87" t="s">
        <v>44</v>
      </c>
      <c r="C352" s="87" t="s">
        <v>268</v>
      </c>
      <c r="D352" s="89">
        <v>692</v>
      </c>
      <c r="E352" s="89"/>
      <c r="F352" s="89"/>
      <c r="G352" s="87" t="str">
        <f t="shared" si="5"/>
        <v>113110103'= VIAGENS - ADIANTAMENTO44134282691</v>
      </c>
      <c r="H352" s="87" t="str">
        <f>VLOOKUP(Tabela1[[#This Row],[CONCATENAR]],'Classificações - Demonstrações'!$A$5:$C$46003,2,)</f>
        <v>Outros Créditos</v>
      </c>
      <c r="I352" s="87"/>
    </row>
    <row r="353" spans="1:9" ht="12.75" customHeight="1" x14ac:dyDescent="0.2">
      <c r="A353" s="94" t="s">
        <v>5269</v>
      </c>
      <c r="B353" s="87" t="s">
        <v>44</v>
      </c>
      <c r="C353" s="87" t="s">
        <v>269</v>
      </c>
      <c r="D353" s="88">
        <v>45999.5</v>
      </c>
      <c r="E353" s="89"/>
      <c r="F353" s="89"/>
      <c r="G353" s="87" t="str">
        <f t="shared" si="5"/>
        <v>113110103'= VIAGENS - ADIANTAMENTO46178325134</v>
      </c>
      <c r="H353" s="87" t="str">
        <f>VLOOKUP(Tabela1[[#This Row],[CONCATENAR]],'Classificações - Demonstrações'!$A$5:$C$46003,2,)</f>
        <v>Outros Créditos</v>
      </c>
      <c r="I353" s="87"/>
    </row>
    <row r="354" spans="1:9" ht="12.75" customHeight="1" x14ac:dyDescent="0.2">
      <c r="A354" s="94" t="s">
        <v>5269</v>
      </c>
      <c r="B354" s="87" t="s">
        <v>44</v>
      </c>
      <c r="C354" s="87" t="s">
        <v>270</v>
      </c>
      <c r="D354" s="89">
        <v>1448</v>
      </c>
      <c r="E354" s="89"/>
      <c r="F354" s="89"/>
      <c r="G354" s="87" t="str">
        <f t="shared" si="5"/>
        <v>113110103'= VIAGENS - ADIANTAMENTO49006843768</v>
      </c>
      <c r="H354" s="87" t="str">
        <f>VLOOKUP(Tabela1[[#This Row],[CONCATENAR]],'Classificações - Demonstrações'!$A$5:$C$46003,2,)</f>
        <v>Outros Créditos</v>
      </c>
      <c r="I354" s="87"/>
    </row>
    <row r="355" spans="1:9" ht="12.75" customHeight="1" x14ac:dyDescent="0.2">
      <c r="A355" s="94" t="s">
        <v>5269</v>
      </c>
      <c r="B355" s="87" t="s">
        <v>44</v>
      </c>
      <c r="C355" s="87" t="s">
        <v>271</v>
      </c>
      <c r="D355" s="89">
        <v>910</v>
      </c>
      <c r="E355" s="89"/>
      <c r="F355" s="89"/>
      <c r="G355" s="87" t="str">
        <f t="shared" si="5"/>
        <v>113110103'= VIAGENS - ADIANTAMENTO50443631700</v>
      </c>
      <c r="H355" s="87" t="str">
        <f>VLOOKUP(Tabela1[[#This Row],[CONCATENAR]],'Classificações - Demonstrações'!$A$5:$C$46003,2,)</f>
        <v>Outros Créditos</v>
      </c>
      <c r="I355" s="87"/>
    </row>
    <row r="356" spans="1:9" ht="12.75" customHeight="1" x14ac:dyDescent="0.2">
      <c r="A356" s="94" t="s">
        <v>5269</v>
      </c>
      <c r="B356" s="87" t="s">
        <v>44</v>
      </c>
      <c r="C356" s="87" t="s">
        <v>6005</v>
      </c>
      <c r="D356" s="89">
        <v>510</v>
      </c>
      <c r="E356" s="89"/>
      <c r="F356" s="89"/>
      <c r="G356" s="87" t="str">
        <f t="shared" si="5"/>
        <v>113110103'= VIAGENS - ADIANTAMENTO60069066787</v>
      </c>
      <c r="H356" s="87" t="str">
        <f>VLOOKUP(Tabela1[[#This Row],[CONCATENAR]],'Classificações - Demonstrações'!$A$5:$C$46003,2,)</f>
        <v>Outros Créditos</v>
      </c>
      <c r="I356" s="87"/>
    </row>
    <row r="357" spans="1:9" ht="12.75" customHeight="1" x14ac:dyDescent="0.2">
      <c r="A357" s="94" t="s">
        <v>5269</v>
      </c>
      <c r="B357" s="87" t="s">
        <v>44</v>
      </c>
      <c r="C357" s="87" t="s">
        <v>4619</v>
      </c>
      <c r="D357" s="89">
        <v>10963</v>
      </c>
      <c r="E357" s="88"/>
      <c r="F357" s="88"/>
      <c r="G357" s="87" t="str">
        <f t="shared" si="5"/>
        <v>113110103'= VIAGENS - ADIANTAMENTO60777788772</v>
      </c>
      <c r="H357" s="87" t="str">
        <f>VLOOKUP(Tabela1[[#This Row],[CONCATENAR]],'Classificações - Demonstrações'!$A$5:$C$46003,2,)</f>
        <v>Outros Créditos</v>
      </c>
      <c r="I357" s="87"/>
    </row>
    <row r="358" spans="1:9" ht="12.75" customHeight="1" x14ac:dyDescent="0.2">
      <c r="A358" s="94" t="s">
        <v>5269</v>
      </c>
      <c r="B358" s="87" t="s">
        <v>44</v>
      </c>
      <c r="C358" s="87" t="s">
        <v>272</v>
      </c>
      <c r="D358" s="89">
        <v>56002</v>
      </c>
      <c r="E358" s="89"/>
      <c r="F358" s="89"/>
      <c r="G358" s="87" t="str">
        <f t="shared" si="5"/>
        <v>113110103'= VIAGENS - ADIANTAMENTO64475867720</v>
      </c>
      <c r="H358" s="87" t="str">
        <f>VLOOKUP(Tabela1[[#This Row],[CONCATENAR]],'Classificações - Demonstrações'!$A$5:$C$46003,2,)</f>
        <v>Outros Créditos</v>
      </c>
      <c r="I358" s="87"/>
    </row>
    <row r="359" spans="1:9" ht="12.75" customHeight="1" x14ac:dyDescent="0.2">
      <c r="A359" s="94" t="s">
        <v>5269</v>
      </c>
      <c r="B359" s="87" t="s">
        <v>44</v>
      </c>
      <c r="C359" s="87" t="s">
        <v>273</v>
      </c>
      <c r="D359" s="89">
        <v>2682</v>
      </c>
      <c r="E359" s="89"/>
      <c r="F359" s="89"/>
      <c r="G359" s="87" t="str">
        <f t="shared" si="5"/>
        <v>113110103'= VIAGENS - ADIANTAMENTO67317529753</v>
      </c>
      <c r="H359" s="87" t="str">
        <f>VLOOKUP(Tabela1[[#This Row],[CONCATENAR]],'Classificações - Demonstrações'!$A$5:$C$46003,2,)</f>
        <v>Outros Créditos</v>
      </c>
      <c r="I359" s="87"/>
    </row>
    <row r="360" spans="1:9" ht="12.75" customHeight="1" x14ac:dyDescent="0.2">
      <c r="A360" s="94" t="s">
        <v>5269</v>
      </c>
      <c r="B360" s="87" t="s">
        <v>44</v>
      </c>
      <c r="C360" s="87" t="s">
        <v>5139</v>
      </c>
      <c r="D360" s="89">
        <v>21697</v>
      </c>
      <c r="E360" s="89"/>
      <c r="F360" s="89"/>
      <c r="G360" s="87" t="str">
        <f t="shared" si="5"/>
        <v>113110103'= VIAGENS - ADIANTAMENTO68122799787</v>
      </c>
      <c r="H360" s="87" t="str">
        <f>VLOOKUP(Tabela1[[#This Row],[CONCATENAR]],'Classificações - Demonstrações'!$A$5:$C$46003,2,)</f>
        <v>Outros Créditos</v>
      </c>
      <c r="I360" s="87"/>
    </row>
    <row r="361" spans="1:9" ht="12.75" customHeight="1" x14ac:dyDescent="0.2">
      <c r="A361" s="94" t="s">
        <v>5269</v>
      </c>
      <c r="B361" s="87" t="s">
        <v>44</v>
      </c>
      <c r="C361" s="87" t="s">
        <v>274</v>
      </c>
      <c r="D361" s="89">
        <v>958</v>
      </c>
      <c r="E361" s="88"/>
      <c r="F361" s="88"/>
      <c r="G361" s="87" t="str">
        <f t="shared" si="5"/>
        <v>113110103'= VIAGENS - ADIANTAMENTO72286717753</v>
      </c>
      <c r="H361" s="87" t="str">
        <f>VLOOKUP(Tabela1[[#This Row],[CONCATENAR]],'Classificações - Demonstrações'!$A$5:$C$46003,2,)</f>
        <v>Outros Créditos</v>
      </c>
      <c r="I361" s="87"/>
    </row>
    <row r="362" spans="1:9" ht="12.75" customHeight="1" x14ac:dyDescent="0.2">
      <c r="A362" s="94" t="s">
        <v>5269</v>
      </c>
      <c r="B362" s="87" t="s">
        <v>44</v>
      </c>
      <c r="C362" s="87" t="s">
        <v>4753</v>
      </c>
      <c r="D362" s="89">
        <v>4250</v>
      </c>
      <c r="E362" s="88"/>
      <c r="F362" s="88"/>
      <c r="G362" s="87" t="str">
        <f t="shared" si="5"/>
        <v>113110103'= VIAGENS - ADIANTAMENTO73638242749</v>
      </c>
      <c r="H362" s="87" t="str">
        <f>VLOOKUP(Tabela1[[#This Row],[CONCATENAR]],'Classificações - Demonstrações'!$A$5:$C$46003,2,)</f>
        <v>Outros Créditos</v>
      </c>
      <c r="I362" s="87"/>
    </row>
    <row r="363" spans="1:9" ht="12.75" customHeight="1" x14ac:dyDescent="0.2">
      <c r="A363" s="94" t="s">
        <v>5269</v>
      </c>
      <c r="B363" s="87" t="s">
        <v>44</v>
      </c>
      <c r="C363" s="87" t="s">
        <v>5140</v>
      </c>
      <c r="D363" s="89">
        <v>10844</v>
      </c>
      <c r="E363" s="89"/>
      <c r="F363" s="89"/>
      <c r="G363" s="87" t="str">
        <f t="shared" si="5"/>
        <v>113110103'= VIAGENS - ADIANTAMENTO75718979715</v>
      </c>
      <c r="H363" s="87" t="str">
        <f>VLOOKUP(Tabela1[[#This Row],[CONCATENAR]],'Classificações - Demonstrações'!$A$5:$C$46003,2,)</f>
        <v>Outros Créditos</v>
      </c>
      <c r="I363" s="87"/>
    </row>
    <row r="364" spans="1:9" ht="12.75" customHeight="1" x14ac:dyDescent="0.2">
      <c r="A364" s="94" t="s">
        <v>5269</v>
      </c>
      <c r="B364" s="87" t="s">
        <v>44</v>
      </c>
      <c r="C364" s="87" t="s">
        <v>275</v>
      </c>
      <c r="D364" s="89">
        <v>4215</v>
      </c>
      <c r="E364" s="88"/>
      <c r="F364" s="88"/>
      <c r="G364" s="87" t="str">
        <f t="shared" si="5"/>
        <v>113110103'= VIAGENS - ADIANTAMENTO76414019372</v>
      </c>
      <c r="H364" s="87" t="str">
        <f>VLOOKUP(Tabela1[[#This Row],[CONCATENAR]],'Classificações - Demonstrações'!$A$5:$C$46003,2,)</f>
        <v>Outros Créditos</v>
      </c>
      <c r="I364" s="87"/>
    </row>
    <row r="365" spans="1:9" ht="12.75" customHeight="1" x14ac:dyDescent="0.2">
      <c r="A365" s="94" t="s">
        <v>5269</v>
      </c>
      <c r="B365" s="87" t="s">
        <v>44</v>
      </c>
      <c r="C365" s="87" t="s">
        <v>276</v>
      </c>
      <c r="D365" s="89">
        <v>0</v>
      </c>
      <c r="E365" s="89"/>
      <c r="F365" s="89"/>
      <c r="G365" s="87" t="str">
        <f t="shared" si="5"/>
        <v>113110103'= VIAGENS - ADIANTAMENTO77399820759</v>
      </c>
      <c r="H365" s="87" t="str">
        <f>VLOOKUP(Tabela1[[#This Row],[CONCATENAR]],'Classificações - Demonstrações'!$A$5:$C$46003,2,)</f>
        <v>Outros Créditos</v>
      </c>
      <c r="I365" s="87"/>
    </row>
    <row r="366" spans="1:9" ht="12.75" customHeight="1" x14ac:dyDescent="0.2">
      <c r="A366" s="94" t="s">
        <v>5269</v>
      </c>
      <c r="B366" s="87" t="s">
        <v>44</v>
      </c>
      <c r="C366" s="87" t="s">
        <v>277</v>
      </c>
      <c r="D366" s="89">
        <v>10075.5</v>
      </c>
      <c r="E366" s="88"/>
      <c r="F366" s="88"/>
      <c r="G366" s="87" t="str">
        <f t="shared" si="5"/>
        <v>113110103'= VIAGENS - ADIANTAMENTO78522471720</v>
      </c>
      <c r="H366" s="87" t="str">
        <f>VLOOKUP(Tabela1[[#This Row],[CONCATENAR]],'Classificações - Demonstrações'!$A$5:$C$46003,2,)</f>
        <v>Outros Créditos</v>
      </c>
      <c r="I366" s="87"/>
    </row>
    <row r="367" spans="1:9" ht="12.75" customHeight="1" x14ac:dyDescent="0.2">
      <c r="A367" s="94" t="s">
        <v>5269</v>
      </c>
      <c r="B367" s="87" t="s">
        <v>44</v>
      </c>
      <c r="C367" s="87" t="s">
        <v>278</v>
      </c>
      <c r="D367" s="89">
        <v>6950</v>
      </c>
      <c r="E367" s="89"/>
      <c r="F367" s="89"/>
      <c r="G367" s="87" t="str">
        <f t="shared" si="5"/>
        <v>113110103'= VIAGENS - ADIANTAMENTO81392524768</v>
      </c>
      <c r="H367" s="87" t="str">
        <f>VLOOKUP(Tabela1[[#This Row],[CONCATENAR]],'Classificações - Demonstrações'!$A$5:$C$46003,2,)</f>
        <v>Outros Créditos</v>
      </c>
      <c r="I367" s="87"/>
    </row>
    <row r="368" spans="1:9" ht="12.75" customHeight="1" x14ac:dyDescent="0.2">
      <c r="A368" s="94" t="s">
        <v>5269</v>
      </c>
      <c r="B368" s="87" t="s">
        <v>44</v>
      </c>
      <c r="C368" s="87" t="s">
        <v>279</v>
      </c>
      <c r="D368" s="89">
        <v>3250</v>
      </c>
      <c r="E368" s="88"/>
      <c r="F368" s="88"/>
      <c r="G368" s="87" t="str">
        <f t="shared" si="5"/>
        <v>113110103'= VIAGENS - ADIANTAMENTO81756607753</v>
      </c>
      <c r="H368" s="87" t="str">
        <f>VLOOKUP(Tabela1[[#This Row],[CONCATENAR]],'Classificações - Demonstrações'!$A$5:$C$46003,2,)</f>
        <v>Outros Créditos</v>
      </c>
      <c r="I368" s="87"/>
    </row>
    <row r="369" spans="1:9" ht="12.75" customHeight="1" x14ac:dyDescent="0.2">
      <c r="A369" s="94" t="s">
        <v>5269</v>
      </c>
      <c r="B369" s="87" t="s">
        <v>44</v>
      </c>
      <c r="C369" s="87" t="s">
        <v>6006</v>
      </c>
      <c r="D369" s="89">
        <v>15314</v>
      </c>
      <c r="E369" s="89"/>
      <c r="F369" s="89"/>
      <c r="G369" s="87" t="str">
        <f t="shared" si="5"/>
        <v>113110103'= VIAGENS - ADIANTAMENTO82438641720</v>
      </c>
      <c r="H369" s="87" t="str">
        <f>VLOOKUP(Tabela1[[#This Row],[CONCATENAR]],'Classificações - Demonstrações'!$A$5:$C$46003,2,)</f>
        <v>Outros Créditos</v>
      </c>
      <c r="I369" s="87"/>
    </row>
    <row r="370" spans="1:9" ht="12.75" customHeight="1" x14ac:dyDescent="0.2">
      <c r="A370" s="94" t="s">
        <v>5269</v>
      </c>
      <c r="B370" s="87" t="s">
        <v>44</v>
      </c>
      <c r="C370" s="87" t="s">
        <v>280</v>
      </c>
      <c r="D370" s="89">
        <v>2950</v>
      </c>
      <c r="E370" s="89"/>
      <c r="F370" s="89"/>
      <c r="G370" s="87" t="str">
        <f t="shared" si="5"/>
        <v>113110103'= VIAGENS - ADIANTAMENTO85951609704</v>
      </c>
      <c r="H370" s="87" t="str">
        <f>VLOOKUP(Tabela1[[#This Row],[CONCATENAR]],'Classificações - Demonstrações'!$A$5:$C$46003,2,)</f>
        <v>Outros Créditos</v>
      </c>
      <c r="I370" s="87"/>
    </row>
    <row r="371" spans="1:9" ht="12.75" customHeight="1" x14ac:dyDescent="0.2">
      <c r="A371" s="94" t="s">
        <v>5269</v>
      </c>
      <c r="B371" s="87" t="s">
        <v>44</v>
      </c>
      <c r="C371" s="87" t="s">
        <v>281</v>
      </c>
      <c r="D371" s="89">
        <v>5530</v>
      </c>
      <c r="E371" s="88"/>
      <c r="F371" s="88"/>
      <c r="G371" s="87" t="str">
        <f t="shared" si="5"/>
        <v>113110103'= VIAGENS - ADIANTAMENTO86076477768</v>
      </c>
      <c r="H371" s="87" t="str">
        <f>VLOOKUP(Tabela1[[#This Row],[CONCATENAR]],'Classificações - Demonstrações'!$A$5:$C$46003,2,)</f>
        <v>Outros Créditos</v>
      </c>
      <c r="I371" s="87"/>
    </row>
    <row r="372" spans="1:9" ht="12.75" customHeight="1" x14ac:dyDescent="0.2">
      <c r="A372" s="94" t="s">
        <v>5269</v>
      </c>
      <c r="B372" s="87" t="s">
        <v>44</v>
      </c>
      <c r="C372" s="87" t="s">
        <v>282</v>
      </c>
      <c r="D372" s="89">
        <v>19918.5</v>
      </c>
      <c r="E372" s="88"/>
      <c r="F372" s="88"/>
      <c r="G372" s="87" t="str">
        <f t="shared" si="5"/>
        <v>113110103'= VIAGENS - ADIANTAMENTO86704702687</v>
      </c>
      <c r="H372" s="87" t="str">
        <f>VLOOKUP(Tabela1[[#This Row],[CONCATENAR]],'Classificações - Demonstrações'!$A$5:$C$46003,2,)</f>
        <v>Outros Créditos</v>
      </c>
      <c r="I372" s="87"/>
    </row>
    <row r="373" spans="1:9" ht="12.75" customHeight="1" x14ac:dyDescent="0.2">
      <c r="A373" s="94" t="s">
        <v>5269</v>
      </c>
      <c r="B373" s="87" t="s">
        <v>44</v>
      </c>
      <c r="C373" s="87" t="s">
        <v>283</v>
      </c>
      <c r="D373" s="89">
        <v>2533</v>
      </c>
      <c r="E373" s="89"/>
      <c r="F373" s="89"/>
      <c r="G373" s="87" t="str">
        <f t="shared" si="5"/>
        <v>113110103'= VIAGENS - ADIANTAMENTO87506440768</v>
      </c>
      <c r="H373" s="87" t="str">
        <f>VLOOKUP(Tabela1[[#This Row],[CONCATENAR]],'Classificações - Demonstrações'!$A$5:$C$46003,2,)</f>
        <v>Outros Créditos</v>
      </c>
      <c r="I373" s="87"/>
    </row>
    <row r="374" spans="1:9" ht="12.75" customHeight="1" x14ac:dyDescent="0.2">
      <c r="A374" s="94" t="s">
        <v>5269</v>
      </c>
      <c r="B374" s="87" t="s">
        <v>44</v>
      </c>
      <c r="C374" s="87" t="s">
        <v>6007</v>
      </c>
      <c r="D374" s="89">
        <v>128</v>
      </c>
      <c r="E374" s="88"/>
      <c r="F374" s="88"/>
      <c r="G374" s="87" t="str">
        <f t="shared" si="5"/>
        <v>113110103'= VIAGENS - ADIANTAMENTO90521749620</v>
      </c>
      <c r="H374" s="87" t="str">
        <f>VLOOKUP(Tabela1[[#This Row],[CONCATENAR]],'Classificações - Demonstrações'!$A$5:$C$46003,2,)</f>
        <v>Outros Créditos</v>
      </c>
      <c r="I374" s="87"/>
    </row>
    <row r="375" spans="1:9" ht="12.75" customHeight="1" x14ac:dyDescent="0.2">
      <c r="A375" s="94" t="s">
        <v>5269</v>
      </c>
      <c r="B375" s="87" t="s">
        <v>44</v>
      </c>
      <c r="C375" s="87" t="s">
        <v>6008</v>
      </c>
      <c r="D375" s="88">
        <v>1048</v>
      </c>
      <c r="E375" s="89"/>
      <c r="F375" s="89"/>
      <c r="G375" s="87" t="str">
        <f t="shared" si="5"/>
        <v>113110103'= VIAGENS - ADIANTAMENTO91137918772</v>
      </c>
      <c r="H375" s="87" t="str">
        <f>VLOOKUP(Tabela1[[#This Row],[CONCATENAR]],'Classificações - Demonstrações'!$A$5:$C$46003,2,)</f>
        <v>Outros Créditos</v>
      </c>
      <c r="I375" s="87"/>
    </row>
    <row r="376" spans="1:9" ht="12.75" customHeight="1" x14ac:dyDescent="0.2">
      <c r="A376" s="94" t="s">
        <v>5269</v>
      </c>
      <c r="B376" s="87" t="s">
        <v>44</v>
      </c>
      <c r="C376" s="87" t="s">
        <v>5030</v>
      </c>
      <c r="D376" s="89">
        <v>1794</v>
      </c>
      <c r="E376" s="89"/>
      <c r="F376" s="89"/>
      <c r="G376" s="87" t="str">
        <f t="shared" si="5"/>
        <v>113110103'= VIAGENS - ADIANTAMENTO92708820710</v>
      </c>
      <c r="H376" s="87" t="str">
        <f>VLOOKUP(Tabela1[[#This Row],[CONCATENAR]],'Classificações - Demonstrações'!$A$5:$C$46003,2,)</f>
        <v>Outros Créditos</v>
      </c>
      <c r="I376" s="87"/>
    </row>
    <row r="377" spans="1:9" ht="12.75" customHeight="1" x14ac:dyDescent="0.2">
      <c r="A377" s="94" t="s">
        <v>5269</v>
      </c>
      <c r="B377" s="87" t="s">
        <v>44</v>
      </c>
      <c r="C377" s="87" t="s">
        <v>284</v>
      </c>
      <c r="D377" s="89">
        <v>55696</v>
      </c>
      <c r="E377" s="88"/>
      <c r="F377" s="88"/>
      <c r="G377" s="87" t="str">
        <f t="shared" si="5"/>
        <v>113110103'= VIAGENS - ADIANTAMENTO96080558572</v>
      </c>
      <c r="H377" s="87" t="str">
        <f>VLOOKUP(Tabela1[[#This Row],[CONCATENAR]],'Classificações - Demonstrações'!$A$5:$C$46003,2,)</f>
        <v>Outros Créditos</v>
      </c>
      <c r="I377" s="87"/>
    </row>
    <row r="378" spans="1:9" ht="12.75" customHeight="1" x14ac:dyDescent="0.2">
      <c r="A378" s="94" t="s">
        <v>5269</v>
      </c>
      <c r="B378" s="87" t="s">
        <v>44</v>
      </c>
      <c r="C378" s="87" t="s">
        <v>285</v>
      </c>
      <c r="D378" s="89">
        <v>6102</v>
      </c>
      <c r="E378" s="89"/>
      <c r="F378" s="89"/>
      <c r="G378" s="87" t="str">
        <f t="shared" si="5"/>
        <v>113110103'= VIAGENS - ADIANTAMENTO96330546720</v>
      </c>
      <c r="H378" s="87" t="str">
        <f>VLOOKUP(Tabela1[[#This Row],[CONCATENAR]],'Classificações - Demonstrações'!$A$5:$C$46003,2,)</f>
        <v>Outros Créditos</v>
      </c>
      <c r="I378" s="87"/>
    </row>
    <row r="379" spans="1:9" ht="12.75" customHeight="1" x14ac:dyDescent="0.2">
      <c r="A379" s="94" t="s">
        <v>5269</v>
      </c>
      <c r="B379" s="87" t="s">
        <v>44</v>
      </c>
      <c r="C379" s="87" t="s">
        <v>286</v>
      </c>
      <c r="D379" s="89">
        <v>34477</v>
      </c>
      <c r="E379" s="88"/>
      <c r="F379" s="88"/>
      <c r="G379" s="87" t="str">
        <f t="shared" si="5"/>
        <v>113110103'= VIAGENS - ADIANTAMENTO97503274700</v>
      </c>
      <c r="H379" s="87" t="str">
        <f>VLOOKUP(Tabela1[[#This Row],[CONCATENAR]],'Classificações - Demonstrações'!$A$5:$C$46003,2,)</f>
        <v>Outros Créditos</v>
      </c>
      <c r="I379" s="87"/>
    </row>
    <row r="380" spans="1:9" ht="12.75" customHeight="1" x14ac:dyDescent="0.2">
      <c r="A380" s="94" t="s">
        <v>5269</v>
      </c>
      <c r="B380" s="87" t="s">
        <v>44</v>
      </c>
      <c r="C380" s="87" t="s">
        <v>287</v>
      </c>
      <c r="D380" s="89">
        <v>750</v>
      </c>
      <c r="E380" s="88"/>
      <c r="F380" s="88"/>
      <c r="G380" s="87" t="str">
        <f t="shared" si="5"/>
        <v>113110103'= VIAGENS - ADIANTAMENTO99275180725</v>
      </c>
      <c r="H380" s="87" t="str">
        <f>VLOOKUP(Tabela1[[#This Row],[CONCATENAR]],'Classificações - Demonstrações'!$A$5:$C$46003,2,)</f>
        <v>Outros Créditos</v>
      </c>
      <c r="I380" s="87"/>
    </row>
    <row r="381" spans="1:9" ht="12.75" customHeight="1" x14ac:dyDescent="0.2">
      <c r="A381" s="94" t="s">
        <v>5772</v>
      </c>
      <c r="B381" s="87" t="s">
        <v>5773</v>
      </c>
      <c r="C381" s="87" t="s">
        <v>43</v>
      </c>
      <c r="D381" s="89">
        <v>1860930.06</v>
      </c>
      <c r="E381" s="88"/>
      <c r="F381" s="88"/>
      <c r="G381" s="87" t="str">
        <f t="shared" si="5"/>
        <v>113110105'= SALARIOS E ORDENADOS - PAGAMENTO ANTECIPADOPF9999905</v>
      </c>
      <c r="H381" s="87" t="str">
        <f>VLOOKUP(Tabela1[[#This Row],[CONCATENAR]],'Classificações - Demonstrações'!$A$5:$C$46003,2,)</f>
        <v>Outros Créditos</v>
      </c>
      <c r="I381" s="87"/>
    </row>
    <row r="382" spans="1:9" ht="12.75" customHeight="1" x14ac:dyDescent="0.2">
      <c r="A382" s="94" t="s">
        <v>288</v>
      </c>
      <c r="B382" s="87" t="s">
        <v>289</v>
      </c>
      <c r="C382" s="87" t="s">
        <v>292</v>
      </c>
      <c r="D382" s="89">
        <v>221393.76</v>
      </c>
      <c r="E382" s="88"/>
      <c r="F382" s="88"/>
      <c r="G382" s="87" t="str">
        <f t="shared" si="5"/>
        <v>113110500'= ADIANTAMENTO A PRESTADORES DE SERVICOS04254554000176</v>
      </c>
      <c r="H382" s="87" t="str">
        <f>VLOOKUP(Tabela1[[#This Row],[CONCATENAR]],'Classificações - Demonstrações'!$A$5:$C$46003,2,)</f>
        <v>Outros Créditos</v>
      </c>
      <c r="I382" s="87"/>
    </row>
    <row r="383" spans="1:9" ht="12.75" customHeight="1" x14ac:dyDescent="0.2">
      <c r="A383" s="94" t="s">
        <v>288</v>
      </c>
      <c r="B383" s="87" t="s">
        <v>289</v>
      </c>
      <c r="C383" s="87" t="s">
        <v>294</v>
      </c>
      <c r="D383" s="89">
        <v>4964264.3499999996</v>
      </c>
      <c r="E383" s="88"/>
      <c r="F383" s="88"/>
      <c r="G383" s="87" t="str">
        <f t="shared" si="5"/>
        <v>113110500'= ADIANTAMENTO A PRESTADORES DE SERVICOS08783191000117</v>
      </c>
      <c r="H383" s="87" t="str">
        <f>VLOOKUP(Tabela1[[#This Row],[CONCATENAR]],'Classificações - Demonstrações'!$A$5:$C$46003,2,)</f>
        <v>Outros Créditos</v>
      </c>
      <c r="I383" s="87"/>
    </row>
    <row r="384" spans="1:9" ht="12.75" customHeight="1" x14ac:dyDescent="0.2">
      <c r="A384" s="94" t="s">
        <v>288</v>
      </c>
      <c r="B384" s="87" t="s">
        <v>289</v>
      </c>
      <c r="C384" s="87" t="s">
        <v>295</v>
      </c>
      <c r="D384" s="89">
        <v>88101.38</v>
      </c>
      <c r="E384" s="89"/>
      <c r="F384" s="89"/>
      <c r="G384" s="87" t="str">
        <f t="shared" si="5"/>
        <v>113110500'= ADIANTAMENTO A PRESTADORES DE SERVICOS27830827000189</v>
      </c>
      <c r="H384" s="87" t="str">
        <f>VLOOKUP(Tabela1[[#This Row],[CONCATENAR]],'Classificações - Demonstrações'!$A$5:$C$46003,2,)</f>
        <v>Outros Créditos</v>
      </c>
      <c r="I384" s="87"/>
    </row>
    <row r="385" spans="1:9" ht="12.75" customHeight="1" x14ac:dyDescent="0.2">
      <c r="A385" s="94" t="s">
        <v>288</v>
      </c>
      <c r="B385" s="87" t="s">
        <v>289</v>
      </c>
      <c r="C385" s="87" t="s">
        <v>24</v>
      </c>
      <c r="D385" s="89">
        <v>397500</v>
      </c>
      <c r="E385" s="89"/>
      <c r="F385" s="89"/>
      <c r="G385" s="87" t="str">
        <f t="shared" si="5"/>
        <v>113110500'= ADIANTAMENTO A PRESTADORES DE SERVICOS33220880000160</v>
      </c>
      <c r="H385" s="87" t="str">
        <f>VLOOKUP(Tabela1[[#This Row],[CONCATENAR]],'Classificações - Demonstrações'!$A$5:$C$46003,2,)</f>
        <v>Outros Créditos</v>
      </c>
      <c r="I385" s="87"/>
    </row>
    <row r="386" spans="1:9" ht="12.75" customHeight="1" x14ac:dyDescent="0.2">
      <c r="A386" s="94" t="s">
        <v>288</v>
      </c>
      <c r="B386" s="87" t="s">
        <v>289</v>
      </c>
      <c r="C386" s="87" t="s">
        <v>299</v>
      </c>
      <c r="D386" s="89">
        <v>3109162.17</v>
      </c>
      <c r="E386" s="88"/>
      <c r="F386" s="88"/>
      <c r="G386" s="87" t="str">
        <f t="shared" si="5"/>
        <v>113110500'= ADIANTAMENTO A PRESTADORES DE SERVICOS44140855000193</v>
      </c>
      <c r="H386" s="87" t="str">
        <f>VLOOKUP(Tabela1[[#This Row],[CONCATENAR]],'Classificações - Demonstrações'!$A$5:$C$46003,2,)</f>
        <v>Outros Créditos</v>
      </c>
      <c r="I386" s="87"/>
    </row>
    <row r="387" spans="1:9" ht="12.75" customHeight="1" x14ac:dyDescent="0.2">
      <c r="A387" s="94" t="s">
        <v>288</v>
      </c>
      <c r="B387" s="87" t="s">
        <v>289</v>
      </c>
      <c r="C387" s="87" t="s">
        <v>300</v>
      </c>
      <c r="D387" s="89">
        <v>8665.36</v>
      </c>
      <c r="E387" s="88"/>
      <c r="F387" s="88"/>
      <c r="G387" s="87" t="str">
        <f t="shared" si="5"/>
        <v>113110500'= ADIANTAMENTO A PRESTADORES DE SERVICOS60444437000146</v>
      </c>
      <c r="H387" s="87" t="str">
        <f>VLOOKUP(Tabela1[[#This Row],[CONCATENAR]],'Classificações - Demonstrações'!$A$5:$C$46003,2,)</f>
        <v>Outros Créditos</v>
      </c>
      <c r="I387" s="87"/>
    </row>
    <row r="388" spans="1:9" ht="12.75" customHeight="1" x14ac:dyDescent="0.2">
      <c r="A388" s="94" t="s">
        <v>288</v>
      </c>
      <c r="B388" s="87" t="s">
        <v>289</v>
      </c>
      <c r="C388" s="87" t="s">
        <v>301</v>
      </c>
      <c r="D388" s="89">
        <v>5850</v>
      </c>
      <c r="E388" s="89"/>
      <c r="F388" s="89"/>
      <c r="G388" s="87" t="str">
        <f t="shared" si="5"/>
        <v>113110500'= ADIANTAMENTO A PRESTADORES DE SERVICOS60633674000155</v>
      </c>
      <c r="H388" s="87" t="str">
        <f>VLOOKUP(Tabela1[[#This Row],[CONCATENAR]],'Classificações - Demonstrações'!$A$5:$C$46003,2,)</f>
        <v>Outros Créditos</v>
      </c>
      <c r="I388" s="87"/>
    </row>
    <row r="389" spans="1:9" ht="12.75" customHeight="1" x14ac:dyDescent="0.2">
      <c r="A389" s="94" t="s">
        <v>288</v>
      </c>
      <c r="B389" s="87" t="s">
        <v>289</v>
      </c>
      <c r="C389" s="87" t="s">
        <v>303</v>
      </c>
      <c r="D389" s="89">
        <v>1877821.78</v>
      </c>
      <c r="E389" s="89"/>
      <c r="F389" s="89"/>
      <c r="G389" s="87" t="str">
        <f t="shared" ref="G389:G452" si="6">CONCATENATE(A389,B389,C389)</f>
        <v>113110500'= ADIANTAMENTO A PRESTADORES DE SERVICOS65494742000166</v>
      </c>
      <c r="H389" s="87" t="str">
        <f>VLOOKUP(Tabela1[[#This Row],[CONCATENAR]],'Classificações - Demonstrações'!$A$5:$C$46003,2,)</f>
        <v>Outros Créditos</v>
      </c>
      <c r="I389" s="87"/>
    </row>
    <row r="390" spans="1:9" ht="12.75" customHeight="1" x14ac:dyDescent="0.2">
      <c r="A390" s="94" t="s">
        <v>5272</v>
      </c>
      <c r="B390" s="87" t="s">
        <v>305</v>
      </c>
      <c r="C390" s="87" t="s">
        <v>290</v>
      </c>
      <c r="D390" s="89">
        <v>2939394</v>
      </c>
      <c r="E390" s="89"/>
      <c r="F390" s="89"/>
      <c r="G390" s="87" t="str">
        <f t="shared" si="6"/>
        <v>113110900'= ADIANTAMENTOS A FORNECEDORES00000000000191</v>
      </c>
      <c r="H390" s="87" t="str">
        <f>VLOOKUP(Tabela1[[#This Row],[CONCATENAR]],'Classificações - Demonstrações'!$A$5:$C$46003,2,)</f>
        <v>Estoque</v>
      </c>
      <c r="I390" s="87"/>
    </row>
    <row r="391" spans="1:9" ht="12.75" customHeight="1" x14ac:dyDescent="0.2">
      <c r="A391" s="94" t="s">
        <v>5272</v>
      </c>
      <c r="B391" s="87" t="s">
        <v>305</v>
      </c>
      <c r="C391" s="87" t="s">
        <v>306</v>
      </c>
      <c r="D391" s="89">
        <v>257665.77</v>
      </c>
      <c r="E391" s="89"/>
      <c r="F391" s="89"/>
      <c r="G391" s="87" t="str">
        <f t="shared" si="6"/>
        <v>113110900'= ADIANTAMENTOS A FORNECEDORES03386326000600</v>
      </c>
      <c r="H391" s="87" t="str">
        <f>VLOOKUP(Tabela1[[#This Row],[CONCATENAR]],'Classificações - Demonstrações'!$A$5:$C$46003,2,)</f>
        <v>Estoque</v>
      </c>
      <c r="I391" s="87"/>
    </row>
    <row r="392" spans="1:9" ht="12.75" customHeight="1" x14ac:dyDescent="0.2">
      <c r="A392" s="94" t="s">
        <v>5272</v>
      </c>
      <c r="B392" s="87" t="s">
        <v>305</v>
      </c>
      <c r="C392" s="87" t="s">
        <v>307</v>
      </c>
      <c r="D392" s="89">
        <v>8626.34</v>
      </c>
      <c r="E392" s="89"/>
      <c r="F392" s="89"/>
      <c r="G392" s="87" t="str">
        <f t="shared" si="6"/>
        <v>113110900'= ADIANTAMENTOS A FORNECEDORES10573521000191</v>
      </c>
      <c r="H392" s="87" t="str">
        <f>VLOOKUP(Tabela1[[#This Row],[CONCATENAR]],'Classificações - Demonstrações'!$A$5:$C$46003,2,)</f>
        <v>Estoque</v>
      </c>
      <c r="I392" s="87"/>
    </row>
    <row r="393" spans="1:9" ht="12.75" customHeight="1" x14ac:dyDescent="0.2">
      <c r="A393" s="94" t="s">
        <v>5272</v>
      </c>
      <c r="B393" s="87" t="s">
        <v>305</v>
      </c>
      <c r="C393" s="87" t="s">
        <v>308</v>
      </c>
      <c r="D393" s="89">
        <v>176944.44</v>
      </c>
      <c r="E393" s="88"/>
      <c r="F393" s="88"/>
      <c r="G393" s="87" t="str">
        <f t="shared" si="6"/>
        <v>113110900'= ADIANTAMENTOS A FORNECEDORES17227422000105</v>
      </c>
      <c r="H393" s="87" t="str">
        <f>VLOOKUP(Tabela1[[#This Row],[CONCATENAR]],'Classificações - Demonstrações'!$A$5:$C$46003,2,)</f>
        <v>Estoque</v>
      </c>
      <c r="I393" s="87"/>
    </row>
    <row r="394" spans="1:9" ht="12.75" customHeight="1" x14ac:dyDescent="0.2">
      <c r="A394" s="94" t="s">
        <v>5272</v>
      </c>
      <c r="B394" s="87" t="s">
        <v>305</v>
      </c>
      <c r="C394" s="87" t="s">
        <v>309</v>
      </c>
      <c r="D394" s="89">
        <v>340599</v>
      </c>
      <c r="E394" s="88"/>
      <c r="F394" s="88"/>
      <c r="G394" s="87" t="str">
        <f t="shared" si="6"/>
        <v>113110900'= ADIANTAMENTOS A FORNECEDORES29617631000136</v>
      </c>
      <c r="H394" s="87" t="str">
        <f>VLOOKUP(Tabela1[[#This Row],[CONCATENAR]],'Classificações - Demonstrações'!$A$5:$C$46003,2,)</f>
        <v>Estoque</v>
      </c>
      <c r="I394" s="87"/>
    </row>
    <row r="395" spans="1:9" ht="12.75" customHeight="1" x14ac:dyDescent="0.2">
      <c r="A395" s="94" t="s">
        <v>5272</v>
      </c>
      <c r="B395" s="87" t="s">
        <v>305</v>
      </c>
      <c r="C395" s="87" t="s">
        <v>24</v>
      </c>
      <c r="D395" s="89">
        <v>5231808.68</v>
      </c>
      <c r="E395" s="88"/>
      <c r="F395" s="88"/>
      <c r="G395" s="87" t="str">
        <f t="shared" si="6"/>
        <v>113110900'= ADIANTAMENTOS A FORNECEDORES33220880000160</v>
      </c>
      <c r="H395" s="87" t="str">
        <f>VLOOKUP(Tabela1[[#This Row],[CONCATENAR]],'Classificações - Demonstrações'!$A$5:$C$46003,2,)</f>
        <v>Estoque</v>
      </c>
      <c r="I395" s="87"/>
    </row>
    <row r="396" spans="1:9" ht="12.75" customHeight="1" x14ac:dyDescent="0.2">
      <c r="A396" s="94" t="s">
        <v>5272</v>
      </c>
      <c r="B396" s="87" t="s">
        <v>305</v>
      </c>
      <c r="C396" s="87" t="s">
        <v>310</v>
      </c>
      <c r="D396" s="89">
        <v>4605390.82</v>
      </c>
      <c r="E396" s="89"/>
      <c r="F396" s="89"/>
      <c r="G396" s="87" t="str">
        <f t="shared" si="6"/>
        <v>113110900'= ADIANTAMENTOS A FORNECEDORES66018441000129</v>
      </c>
      <c r="H396" s="87" t="str">
        <f>VLOOKUP(Tabela1[[#This Row],[CONCATENAR]],'Classificações - Demonstrações'!$A$5:$C$46003,2,)</f>
        <v>Estoque</v>
      </c>
      <c r="I396" s="87"/>
    </row>
    <row r="397" spans="1:9" ht="12.75" customHeight="1" x14ac:dyDescent="0.2">
      <c r="A397" s="94" t="s">
        <v>5273</v>
      </c>
      <c r="B397" s="87" t="s">
        <v>311</v>
      </c>
      <c r="C397" s="87" t="s">
        <v>312</v>
      </c>
      <c r="D397" s="89">
        <v>1075867.75</v>
      </c>
      <c r="E397" s="89"/>
      <c r="F397" s="89"/>
      <c r="G397" s="87" t="str">
        <f t="shared" si="6"/>
        <v>113210100'= IPI A RECUPERAR/COMPENSAR1050000266</v>
      </c>
      <c r="H397" s="87" t="str">
        <f>VLOOKUP(Tabela1[[#This Row],[CONCATENAR]],'Classificações - Demonstrações'!$A$5:$C$46003,2,)</f>
        <v>Impostos a Recuperar</v>
      </c>
      <c r="I397" s="87"/>
    </row>
    <row r="398" spans="1:9" ht="12.75" customHeight="1" x14ac:dyDescent="0.2">
      <c r="A398" s="94" t="s">
        <v>5274</v>
      </c>
      <c r="B398" s="87" t="s">
        <v>313</v>
      </c>
      <c r="C398" s="87" t="s">
        <v>312</v>
      </c>
      <c r="D398" s="89">
        <v>3869121.98</v>
      </c>
      <c r="E398" s="89"/>
      <c r="F398" s="89"/>
      <c r="G398" s="87" t="str">
        <f t="shared" si="6"/>
        <v>113210200'= ICMS A RECUPERAR / COMPENSAR1050000266</v>
      </c>
      <c r="H398" s="87" t="str">
        <f>VLOOKUP(Tabela1[[#This Row],[CONCATENAR]],'Classificações - Demonstrações'!$A$5:$C$46003,2,)</f>
        <v>Impostos a Recuperar</v>
      </c>
      <c r="I398" s="87"/>
    </row>
    <row r="399" spans="1:9" ht="12.75" customHeight="1" x14ac:dyDescent="0.2">
      <c r="A399" s="94" t="s">
        <v>5275</v>
      </c>
      <c r="B399" s="87" t="s">
        <v>314</v>
      </c>
      <c r="C399" s="87" t="s">
        <v>312</v>
      </c>
      <c r="D399" s="89">
        <v>1571694.61</v>
      </c>
      <c r="E399" s="89"/>
      <c r="F399" s="89"/>
      <c r="G399" s="87" t="str">
        <f t="shared" si="6"/>
        <v>113210400'= IRRF A COMPENSAR1050000266</v>
      </c>
      <c r="H399" s="87" t="str">
        <f>VLOOKUP(Tabela1[[#This Row],[CONCATENAR]],'Classificações - Demonstrações'!$A$5:$C$46003,2,)</f>
        <v>Impostos a Recuperar</v>
      </c>
      <c r="I399" s="87"/>
    </row>
    <row r="400" spans="1:9" ht="12.75" customHeight="1" x14ac:dyDescent="0.2">
      <c r="A400" s="94" t="s">
        <v>5276</v>
      </c>
      <c r="B400" s="87" t="s">
        <v>315</v>
      </c>
      <c r="C400" s="87" t="s">
        <v>312</v>
      </c>
      <c r="D400" s="89">
        <v>1159767.01</v>
      </c>
      <c r="E400" s="89"/>
      <c r="F400" s="89"/>
      <c r="G400" s="87" t="str">
        <f t="shared" si="6"/>
        <v>113210500'= IR E CSLL A RECUPERAR/COMPENSAR1050000266</v>
      </c>
      <c r="H400" s="87" t="str">
        <f>VLOOKUP(Tabela1[[#This Row],[CONCATENAR]],'Classificações - Demonstrações'!$A$5:$C$46003,2,)</f>
        <v>Impostos a Recuperar</v>
      </c>
      <c r="I400" s="87"/>
    </row>
    <row r="401" spans="1:9" ht="12.75" customHeight="1" x14ac:dyDescent="0.2">
      <c r="A401" s="94" t="s">
        <v>5277</v>
      </c>
      <c r="B401" s="87" t="s">
        <v>5278</v>
      </c>
      <c r="C401" s="87" t="s">
        <v>5279</v>
      </c>
      <c r="D401" s="89">
        <v>26730</v>
      </c>
      <c r="E401" s="89"/>
      <c r="F401" s="89"/>
      <c r="G401" s="87" t="str">
        <f t="shared" si="6"/>
        <v>113211100'= INSS A COMPENSAR1000000000113208</v>
      </c>
      <c r="H401" s="87" t="str">
        <f>VLOOKUP(Tabela1[[#This Row],[CONCATENAR]],'Classificações - Demonstrações'!$A$5:$C$46003,2,)</f>
        <v>Impostos a Recuperar</v>
      </c>
      <c r="I401" s="87"/>
    </row>
    <row r="402" spans="1:9" ht="12.75" customHeight="1" x14ac:dyDescent="0.2">
      <c r="A402" s="94" t="s">
        <v>5280</v>
      </c>
      <c r="B402" s="87" t="s">
        <v>316</v>
      </c>
      <c r="C402" s="87" t="s">
        <v>312</v>
      </c>
      <c r="D402" s="89">
        <v>3326913.19</v>
      </c>
      <c r="E402" s="88"/>
      <c r="F402" s="88"/>
      <c r="G402" s="87" t="str">
        <f t="shared" si="6"/>
        <v>113211300'= COFINS A RECUPERAR / COMPENSAR1050000266</v>
      </c>
      <c r="H402" s="87" t="str">
        <f>VLOOKUP(Tabela1[[#This Row],[CONCATENAR]],'Classificações - Demonstrações'!$A$5:$C$46003,2,)</f>
        <v>Impostos a Recuperar</v>
      </c>
      <c r="I402" s="87"/>
    </row>
    <row r="403" spans="1:9" ht="12.75" customHeight="1" x14ac:dyDescent="0.2">
      <c r="A403" s="94" t="s">
        <v>5281</v>
      </c>
      <c r="B403" s="87" t="s">
        <v>317</v>
      </c>
      <c r="C403" s="87" t="s">
        <v>312</v>
      </c>
      <c r="D403" s="89">
        <v>720933.35</v>
      </c>
      <c r="E403" s="89"/>
      <c r="F403" s="89"/>
      <c r="G403" s="87" t="str">
        <f t="shared" si="6"/>
        <v>113211400'= PIS/PASEP A RECUPERAR/COMPENSAR1050000266</v>
      </c>
      <c r="H403" s="87" t="str">
        <f>VLOOKUP(Tabela1[[#This Row],[CONCATENAR]],'Classificações - Demonstrações'!$A$5:$C$46003,2,)</f>
        <v>Impostos a Recuperar</v>
      </c>
      <c r="I403" s="87"/>
    </row>
    <row r="404" spans="1:9" ht="12.75" customHeight="1" x14ac:dyDescent="0.2">
      <c r="A404" s="94">
        <v>113812600</v>
      </c>
      <c r="B404" s="87" t="s">
        <v>318</v>
      </c>
      <c r="C404" s="87" t="s">
        <v>319</v>
      </c>
      <c r="D404" s="89">
        <v>24384326.68</v>
      </c>
      <c r="E404" s="89"/>
      <c r="F404" s="89"/>
      <c r="G404" s="87" t="str">
        <f t="shared" si="6"/>
        <v>113812600CRED A REC POR CESSAO DE CREDITOS PELA UNIAOSEM INFORMACAO</v>
      </c>
      <c r="H404" s="87" t="str">
        <f>VLOOKUP(Tabela1[[#This Row],[CONCATENAR]],'Classificações - Demonstrações'!$A$5:$C$46003,2,)</f>
        <v>Contas a Receber</v>
      </c>
      <c r="I404" s="87"/>
    </row>
    <row r="405" spans="1:9" ht="12.75" customHeight="1" x14ac:dyDescent="0.2">
      <c r="A405" s="94" t="s">
        <v>5283</v>
      </c>
      <c r="B405" s="87" t="s">
        <v>4754</v>
      </c>
      <c r="C405" s="87" t="s">
        <v>321</v>
      </c>
      <c r="D405" s="89">
        <v>0</v>
      </c>
      <c r="E405" s="88"/>
      <c r="F405" s="88"/>
      <c r="G405" s="87" t="str">
        <f t="shared" si="6"/>
        <v>115210100'= PRODUTOS ACABADOSIC2022003</v>
      </c>
      <c r="H405" s="87" t="str">
        <f>VLOOKUP(Tabela1[[#This Row],[CONCATENAR]],'Classificações - Demonstrações'!$A$5:$C$46003,2,)</f>
        <v>Estoque</v>
      </c>
      <c r="I405" s="87"/>
    </row>
    <row r="406" spans="1:9" ht="12.75" customHeight="1" x14ac:dyDescent="0.2">
      <c r="A406" s="94" t="s">
        <v>5283</v>
      </c>
      <c r="B406" s="87" t="s">
        <v>4754</v>
      </c>
      <c r="C406" s="87" t="s">
        <v>322</v>
      </c>
      <c r="D406" s="89">
        <v>0</v>
      </c>
      <c r="E406" s="88"/>
      <c r="F406" s="88"/>
      <c r="G406" s="87" t="str">
        <f t="shared" si="6"/>
        <v>115210100'= PRODUTOS ACABADOSIC2022004</v>
      </c>
      <c r="H406" s="87" t="str">
        <f>VLOOKUP(Tabela1[[#This Row],[CONCATENAR]],'Classificações - Demonstrações'!$A$5:$C$46003,2,)</f>
        <v>Estoque</v>
      </c>
      <c r="I406" s="87"/>
    </row>
    <row r="407" spans="1:9" ht="12.75" customHeight="1" x14ac:dyDescent="0.2">
      <c r="A407" s="94" t="s">
        <v>5283</v>
      </c>
      <c r="B407" s="87" t="s">
        <v>4754</v>
      </c>
      <c r="C407" s="87" t="s">
        <v>323</v>
      </c>
      <c r="D407" s="89">
        <v>0</v>
      </c>
      <c r="E407" s="89"/>
      <c r="F407" s="89"/>
      <c r="G407" s="87" t="str">
        <f t="shared" si="6"/>
        <v>115210100'= PRODUTOS ACABADOSIC2022006</v>
      </c>
      <c r="H407" s="87" t="str">
        <f>VLOOKUP(Tabela1[[#This Row],[CONCATENAR]],'Classificações - Demonstrações'!$A$5:$C$46003,2,)</f>
        <v>Estoque</v>
      </c>
      <c r="I407" s="87"/>
    </row>
    <row r="408" spans="1:9" ht="12.75" customHeight="1" x14ac:dyDescent="0.2">
      <c r="A408" s="94" t="s">
        <v>5283</v>
      </c>
      <c r="B408" s="87" t="s">
        <v>4754</v>
      </c>
      <c r="C408" s="87" t="s">
        <v>324</v>
      </c>
      <c r="D408" s="89">
        <v>0</v>
      </c>
      <c r="E408" s="88"/>
      <c r="F408" s="88"/>
      <c r="G408" s="87" t="str">
        <f t="shared" si="6"/>
        <v>115210100'= PRODUTOS ACABADOSIC2022010</v>
      </c>
      <c r="H408" s="87" t="str">
        <f>VLOOKUP(Tabela1[[#This Row],[CONCATENAR]],'Classificações - Demonstrações'!$A$5:$C$46003,2,)</f>
        <v>Estoque</v>
      </c>
      <c r="I408" s="87"/>
    </row>
    <row r="409" spans="1:9" ht="12.75" customHeight="1" x14ac:dyDescent="0.2">
      <c r="A409" s="94" t="s">
        <v>5283</v>
      </c>
      <c r="B409" s="87" t="s">
        <v>4754</v>
      </c>
      <c r="C409" s="87" t="s">
        <v>332</v>
      </c>
      <c r="D409" s="88">
        <v>0</v>
      </c>
      <c r="E409" s="89"/>
      <c r="F409" s="89"/>
      <c r="G409" s="87" t="str">
        <f t="shared" si="6"/>
        <v>115210100'= PRODUTOS ACABADOSIC2022011</v>
      </c>
      <c r="H409" s="87" t="str">
        <f>VLOOKUP(Tabela1[[#This Row],[CONCATENAR]],'Classificações - Demonstrações'!$A$5:$C$46003,2,)</f>
        <v>Estoque</v>
      </c>
      <c r="I409" s="87"/>
    </row>
    <row r="410" spans="1:9" ht="12.75" customHeight="1" x14ac:dyDescent="0.2">
      <c r="A410" s="94" t="s">
        <v>5283</v>
      </c>
      <c r="B410" s="87" t="s">
        <v>4754</v>
      </c>
      <c r="C410" s="87" t="s">
        <v>333</v>
      </c>
      <c r="D410" s="89">
        <v>0</v>
      </c>
      <c r="E410" s="89"/>
      <c r="F410" s="89"/>
      <c r="G410" s="87" t="str">
        <f t="shared" si="6"/>
        <v>115210100'= PRODUTOS ACABADOSIC2022012</v>
      </c>
      <c r="H410" s="87" t="str">
        <f>VLOOKUP(Tabela1[[#This Row],[CONCATENAR]],'Classificações - Demonstrações'!$A$5:$C$46003,2,)</f>
        <v>Estoque</v>
      </c>
      <c r="I410" s="87"/>
    </row>
    <row r="411" spans="1:9" ht="12.75" customHeight="1" x14ac:dyDescent="0.2">
      <c r="A411" s="94" t="s">
        <v>5283</v>
      </c>
      <c r="B411" s="87" t="s">
        <v>4754</v>
      </c>
      <c r="C411" s="87" t="s">
        <v>5287</v>
      </c>
      <c r="D411" s="89">
        <v>0</v>
      </c>
      <c r="E411" s="88"/>
      <c r="F411" s="88"/>
      <c r="G411" s="87" t="str">
        <f t="shared" si="6"/>
        <v>115210100'= PRODUTOS ACABADOSIC2023004</v>
      </c>
      <c r="H411" s="87" t="str">
        <f>VLOOKUP(Tabela1[[#This Row],[CONCATENAR]],'Classificações - Demonstrações'!$A$5:$C$46003,2,)</f>
        <v>Estoque</v>
      </c>
      <c r="I411" s="87"/>
    </row>
    <row r="412" spans="1:9" ht="12.75" customHeight="1" x14ac:dyDescent="0.2">
      <c r="A412" s="94" t="s">
        <v>5283</v>
      </c>
      <c r="B412" s="87" t="s">
        <v>4754</v>
      </c>
      <c r="C412" s="87" t="s">
        <v>5288</v>
      </c>
      <c r="D412" s="89">
        <v>0</v>
      </c>
      <c r="E412" s="89"/>
      <c r="F412" s="89"/>
      <c r="G412" s="87" t="str">
        <f t="shared" si="6"/>
        <v>115210100'= PRODUTOS ACABADOSIC2023005</v>
      </c>
      <c r="H412" s="87" t="str">
        <f>VLOOKUP(Tabela1[[#This Row],[CONCATENAR]],'Classificações - Demonstrações'!$A$5:$C$46003,2,)</f>
        <v>Estoque</v>
      </c>
      <c r="I412" s="87"/>
    </row>
    <row r="413" spans="1:9" ht="12.75" customHeight="1" x14ac:dyDescent="0.2">
      <c r="A413" s="94" t="s">
        <v>5283</v>
      </c>
      <c r="B413" s="87" t="s">
        <v>4754</v>
      </c>
      <c r="C413" s="87" t="s">
        <v>6009</v>
      </c>
      <c r="D413" s="89">
        <v>0</v>
      </c>
      <c r="E413" s="89"/>
      <c r="F413" s="89"/>
      <c r="G413" s="87" t="str">
        <f t="shared" si="6"/>
        <v>115210100'= PRODUTOS ACABADOSIC2023014</v>
      </c>
      <c r="H413" s="87" t="str">
        <f>VLOOKUP(Tabela1[[#This Row],[CONCATENAR]],'Classificações - Demonstrações'!$A$5:$C$46003,2,)</f>
        <v>Estoque</v>
      </c>
      <c r="I413" s="87"/>
    </row>
    <row r="414" spans="1:9" ht="12.75" customHeight="1" x14ac:dyDescent="0.2">
      <c r="A414" s="94" t="s">
        <v>5283</v>
      </c>
      <c r="B414" s="87" t="s">
        <v>4754</v>
      </c>
      <c r="C414" s="87" t="s">
        <v>6010</v>
      </c>
      <c r="D414" s="89">
        <v>0</v>
      </c>
      <c r="E414" s="88"/>
      <c r="F414" s="88"/>
      <c r="G414" s="87" t="str">
        <f t="shared" si="6"/>
        <v>115210100'= PRODUTOS ACABADOSIC2023016</v>
      </c>
      <c r="H414" s="87" t="str">
        <f>VLOOKUP(Tabela1[[#This Row],[CONCATENAR]],'Classificações - Demonstrações'!$A$5:$C$46003,2,)</f>
        <v>Estoque</v>
      </c>
      <c r="I414" s="87"/>
    </row>
    <row r="415" spans="1:9" ht="12.75" customHeight="1" x14ac:dyDescent="0.2">
      <c r="A415" s="94" t="s">
        <v>5284</v>
      </c>
      <c r="B415" s="87" t="s">
        <v>328</v>
      </c>
      <c r="C415" s="87" t="s">
        <v>320</v>
      </c>
      <c r="D415" s="89">
        <v>23252713</v>
      </c>
      <c r="E415" s="89"/>
      <c r="F415" s="89"/>
      <c r="G415" s="87" t="str">
        <f t="shared" si="6"/>
        <v>115310100'= PRODUTOS EM ELABORACAOIC2022001</v>
      </c>
      <c r="H415" s="87" t="str">
        <f>VLOOKUP(Tabela1[[#This Row],[CONCATENAR]],'Classificações - Demonstrações'!$A$5:$C$46003,2,)</f>
        <v>Estoque</v>
      </c>
      <c r="I415" s="87"/>
    </row>
    <row r="416" spans="1:9" ht="12.75" customHeight="1" x14ac:dyDescent="0.2">
      <c r="A416" s="94" t="s">
        <v>5284</v>
      </c>
      <c r="B416" s="87" t="s">
        <v>328</v>
      </c>
      <c r="C416" s="87" t="s">
        <v>329</v>
      </c>
      <c r="D416" s="89">
        <v>54870.34</v>
      </c>
      <c r="E416" s="89"/>
      <c r="F416" s="89"/>
      <c r="G416" s="87" t="str">
        <f t="shared" si="6"/>
        <v>115310100'= PRODUTOS EM ELABORACAOIC2022002</v>
      </c>
      <c r="H416" s="87" t="str">
        <f>VLOOKUP(Tabela1[[#This Row],[CONCATENAR]],'Classificações - Demonstrações'!$A$5:$C$46003,2,)</f>
        <v>Estoque</v>
      </c>
      <c r="I416" s="87"/>
    </row>
    <row r="417" spans="1:9" ht="12.75" customHeight="1" x14ac:dyDescent="0.2">
      <c r="A417" s="94" t="s">
        <v>5284</v>
      </c>
      <c r="B417" s="87" t="s">
        <v>328</v>
      </c>
      <c r="C417" s="87" t="s">
        <v>321</v>
      </c>
      <c r="D417" s="89">
        <v>18897590.93</v>
      </c>
      <c r="E417" s="88"/>
      <c r="F417" s="88"/>
      <c r="G417" s="87" t="str">
        <f t="shared" si="6"/>
        <v>115310100'= PRODUTOS EM ELABORACAOIC2022003</v>
      </c>
      <c r="H417" s="87" t="str">
        <f>VLOOKUP(Tabela1[[#This Row],[CONCATENAR]],'Classificações - Demonstrações'!$A$5:$C$46003,2,)</f>
        <v>Estoque</v>
      </c>
      <c r="I417" s="87"/>
    </row>
    <row r="418" spans="1:9" ht="12.75" customHeight="1" x14ac:dyDescent="0.2">
      <c r="A418" s="94" t="s">
        <v>5284</v>
      </c>
      <c r="B418" s="87" t="s">
        <v>328</v>
      </c>
      <c r="C418" s="87" t="s">
        <v>322</v>
      </c>
      <c r="D418" s="89">
        <v>10381500.560000001</v>
      </c>
      <c r="E418" s="88"/>
      <c r="F418" s="88"/>
      <c r="G418" s="87" t="str">
        <f t="shared" si="6"/>
        <v>115310100'= PRODUTOS EM ELABORACAOIC2022004</v>
      </c>
      <c r="H418" s="87" t="str">
        <f>VLOOKUP(Tabela1[[#This Row],[CONCATENAR]],'Classificações - Demonstrações'!$A$5:$C$46003,2,)</f>
        <v>Estoque</v>
      </c>
      <c r="I418" s="87"/>
    </row>
    <row r="419" spans="1:9" ht="12.75" customHeight="1" x14ac:dyDescent="0.2">
      <c r="A419" s="94" t="s">
        <v>5284</v>
      </c>
      <c r="B419" s="87" t="s">
        <v>328</v>
      </c>
      <c r="C419" s="87" t="s">
        <v>330</v>
      </c>
      <c r="D419" s="89">
        <v>38668.660000000003</v>
      </c>
      <c r="E419" s="88"/>
      <c r="F419" s="88"/>
      <c r="G419" s="87" t="str">
        <f t="shared" si="6"/>
        <v>115310100'= PRODUTOS EM ELABORACAOIC2022005</v>
      </c>
      <c r="H419" s="87" t="str">
        <f>VLOOKUP(Tabela1[[#This Row],[CONCATENAR]],'Classificações - Demonstrações'!$A$5:$C$46003,2,)</f>
        <v>Estoque</v>
      </c>
      <c r="I419" s="87"/>
    </row>
    <row r="420" spans="1:9" ht="12.75" customHeight="1" x14ac:dyDescent="0.2">
      <c r="A420" s="94" t="s">
        <v>5284</v>
      </c>
      <c r="B420" s="87" t="s">
        <v>328</v>
      </c>
      <c r="C420" s="87" t="s">
        <v>323</v>
      </c>
      <c r="D420" s="89">
        <v>13141072.890000001</v>
      </c>
      <c r="E420" s="88"/>
      <c r="F420" s="88"/>
      <c r="G420" s="87" t="str">
        <f t="shared" si="6"/>
        <v>115310100'= PRODUTOS EM ELABORACAOIC2022006</v>
      </c>
      <c r="H420" s="87" t="str">
        <f>VLOOKUP(Tabela1[[#This Row],[CONCATENAR]],'Classificações - Demonstrações'!$A$5:$C$46003,2,)</f>
        <v>Estoque</v>
      </c>
      <c r="I420" s="87"/>
    </row>
    <row r="421" spans="1:9" ht="12.75" customHeight="1" x14ac:dyDescent="0.2">
      <c r="A421" s="94" t="s">
        <v>5284</v>
      </c>
      <c r="B421" s="87" t="s">
        <v>328</v>
      </c>
      <c r="C421" s="87" t="s">
        <v>331</v>
      </c>
      <c r="D421" s="89">
        <v>51018.26</v>
      </c>
      <c r="E421" s="89"/>
      <c r="F421" s="89"/>
      <c r="G421" s="87" t="str">
        <f t="shared" si="6"/>
        <v>115310100'= PRODUTOS EM ELABORACAOIC2022007</v>
      </c>
      <c r="H421" s="87" t="str">
        <f>VLOOKUP(Tabela1[[#This Row],[CONCATENAR]],'Classificações - Demonstrações'!$A$5:$C$46003,2,)</f>
        <v>Estoque</v>
      </c>
      <c r="I421" s="87"/>
    </row>
    <row r="422" spans="1:9" ht="12.75" customHeight="1" x14ac:dyDescent="0.2">
      <c r="A422" s="94" t="s">
        <v>5284</v>
      </c>
      <c r="B422" s="87" t="s">
        <v>328</v>
      </c>
      <c r="C422" s="87" t="s">
        <v>324</v>
      </c>
      <c r="D422" s="89">
        <v>2179379.5</v>
      </c>
      <c r="E422" s="88"/>
      <c r="F422" s="88"/>
      <c r="G422" s="87" t="str">
        <f t="shared" si="6"/>
        <v>115310100'= PRODUTOS EM ELABORACAOIC2022010</v>
      </c>
      <c r="H422" s="87" t="str">
        <f>VLOOKUP(Tabela1[[#This Row],[CONCATENAR]],'Classificações - Demonstrações'!$A$5:$C$46003,2,)</f>
        <v>Estoque</v>
      </c>
      <c r="I422" s="87"/>
    </row>
    <row r="423" spans="1:9" ht="12.75" customHeight="1" x14ac:dyDescent="0.2">
      <c r="A423" s="94" t="s">
        <v>5284</v>
      </c>
      <c r="B423" s="87" t="s">
        <v>328</v>
      </c>
      <c r="C423" s="87" t="s">
        <v>332</v>
      </c>
      <c r="D423" s="89">
        <v>0</v>
      </c>
      <c r="E423" s="89"/>
      <c r="F423" s="89"/>
      <c r="G423" s="87" t="str">
        <f t="shared" si="6"/>
        <v>115310100'= PRODUTOS EM ELABORACAOIC2022011</v>
      </c>
      <c r="H423" s="87" t="str">
        <f>VLOOKUP(Tabela1[[#This Row],[CONCATENAR]],'Classificações - Demonstrações'!$A$5:$C$46003,2,)</f>
        <v>Estoque</v>
      </c>
      <c r="I423" s="87"/>
    </row>
    <row r="424" spans="1:9" ht="12.75" customHeight="1" x14ac:dyDescent="0.2">
      <c r="A424" s="94" t="s">
        <v>5284</v>
      </c>
      <c r="B424" s="87" t="s">
        <v>328</v>
      </c>
      <c r="C424" s="87" t="s">
        <v>333</v>
      </c>
      <c r="D424" s="89">
        <v>0</v>
      </c>
      <c r="E424" s="88"/>
      <c r="F424" s="88"/>
      <c r="G424" s="87" t="str">
        <f t="shared" si="6"/>
        <v>115310100'= PRODUTOS EM ELABORACAOIC2022012</v>
      </c>
      <c r="H424" s="87" t="str">
        <f>VLOOKUP(Tabela1[[#This Row],[CONCATENAR]],'Classificações - Demonstrações'!$A$5:$C$46003,2,)</f>
        <v>Estoque</v>
      </c>
      <c r="I424" s="87"/>
    </row>
    <row r="425" spans="1:9" ht="12.75" customHeight="1" x14ac:dyDescent="0.2">
      <c r="A425" s="94" t="s">
        <v>5284</v>
      </c>
      <c r="B425" s="87" t="s">
        <v>328</v>
      </c>
      <c r="C425" s="87" t="s">
        <v>325</v>
      </c>
      <c r="D425" s="89">
        <v>569615.57999999996</v>
      </c>
      <c r="E425" s="89"/>
      <c r="F425" s="89"/>
      <c r="G425" s="87" t="str">
        <f t="shared" si="6"/>
        <v>115310100'= PRODUTOS EM ELABORACAOIC2022013</v>
      </c>
      <c r="H425" s="87" t="str">
        <f>VLOOKUP(Tabela1[[#This Row],[CONCATENAR]],'Classificações - Demonstrações'!$A$5:$C$46003,2,)</f>
        <v>Estoque</v>
      </c>
      <c r="I425" s="87"/>
    </row>
    <row r="426" spans="1:9" ht="12.75" customHeight="1" x14ac:dyDescent="0.2">
      <c r="A426" s="94" t="s">
        <v>5284</v>
      </c>
      <c r="B426" s="87" t="s">
        <v>328</v>
      </c>
      <c r="C426" s="87" t="s">
        <v>326</v>
      </c>
      <c r="D426" s="89">
        <v>2165600.6</v>
      </c>
      <c r="E426" s="88"/>
      <c r="F426" s="88"/>
      <c r="G426" s="87" t="str">
        <f t="shared" si="6"/>
        <v>115310100'= PRODUTOS EM ELABORACAOIC2022014</v>
      </c>
      <c r="H426" s="87" t="str">
        <f>VLOOKUP(Tabela1[[#This Row],[CONCATENAR]],'Classificações - Demonstrações'!$A$5:$C$46003,2,)</f>
        <v>Estoque</v>
      </c>
      <c r="I426" s="87"/>
    </row>
    <row r="427" spans="1:9" ht="12.75" customHeight="1" x14ac:dyDescent="0.2">
      <c r="A427" s="94" t="s">
        <v>5284</v>
      </c>
      <c r="B427" s="87" t="s">
        <v>328</v>
      </c>
      <c r="C427" s="87" t="s">
        <v>334</v>
      </c>
      <c r="D427" s="89">
        <v>27438.78</v>
      </c>
      <c r="E427" s="89"/>
      <c r="F427" s="89"/>
      <c r="G427" s="87" t="str">
        <f t="shared" si="6"/>
        <v>115310100'= PRODUTOS EM ELABORACAOIC2022015</v>
      </c>
      <c r="H427" s="87" t="str">
        <f>VLOOKUP(Tabela1[[#This Row],[CONCATENAR]],'Classificações - Demonstrações'!$A$5:$C$46003,2,)</f>
        <v>Estoque</v>
      </c>
      <c r="I427" s="87"/>
    </row>
    <row r="428" spans="1:9" ht="12.75" customHeight="1" x14ac:dyDescent="0.2">
      <c r="A428" s="94" t="s">
        <v>5284</v>
      </c>
      <c r="B428" s="87" t="s">
        <v>328</v>
      </c>
      <c r="C428" s="87" t="s">
        <v>335</v>
      </c>
      <c r="D428" s="88">
        <v>13143169.83</v>
      </c>
      <c r="E428" s="89"/>
      <c r="F428" s="89"/>
      <c r="G428" s="87" t="str">
        <f t="shared" si="6"/>
        <v>115310100'= PRODUTOS EM ELABORACAOIC2022016</v>
      </c>
      <c r="H428" s="87" t="str">
        <f>VLOOKUP(Tabela1[[#This Row],[CONCATENAR]],'Classificações - Demonstrações'!$A$5:$C$46003,2,)</f>
        <v>Estoque</v>
      </c>
      <c r="I428" s="87"/>
    </row>
    <row r="429" spans="1:9" ht="12.75" customHeight="1" x14ac:dyDescent="0.2">
      <c r="A429" s="94" t="s">
        <v>5284</v>
      </c>
      <c r="B429" s="87" t="s">
        <v>328</v>
      </c>
      <c r="C429" s="87" t="s">
        <v>327</v>
      </c>
      <c r="D429" s="89">
        <v>784251.09</v>
      </c>
      <c r="E429" s="89"/>
      <c r="F429" s="89"/>
      <c r="G429" s="87" t="str">
        <f t="shared" si="6"/>
        <v>115310100'= PRODUTOS EM ELABORACAOIC2023001</v>
      </c>
      <c r="H429" s="87" t="str">
        <f>VLOOKUP(Tabela1[[#This Row],[CONCATENAR]],'Classificações - Demonstrações'!$A$5:$C$46003,2,)</f>
        <v>Estoque</v>
      </c>
      <c r="I429" s="87"/>
    </row>
    <row r="430" spans="1:9" ht="12.75" customHeight="1" x14ac:dyDescent="0.2">
      <c r="A430" s="94" t="s">
        <v>5284</v>
      </c>
      <c r="B430" s="87" t="s">
        <v>328</v>
      </c>
      <c r="C430" s="87" t="s">
        <v>5285</v>
      </c>
      <c r="D430" s="89">
        <v>184587.59</v>
      </c>
      <c r="E430" s="89"/>
      <c r="F430" s="89"/>
      <c r="G430" s="87" t="str">
        <f t="shared" si="6"/>
        <v>115310100'= PRODUTOS EM ELABORACAOIC2023002</v>
      </c>
      <c r="H430" s="87" t="str">
        <f>VLOOKUP(Tabela1[[#This Row],[CONCATENAR]],'Classificações - Demonstrações'!$A$5:$C$46003,2,)</f>
        <v>Estoque</v>
      </c>
      <c r="I430" s="87"/>
    </row>
    <row r="431" spans="1:9" ht="12.75" customHeight="1" x14ac:dyDescent="0.2">
      <c r="A431" s="94" t="s">
        <v>5284</v>
      </c>
      <c r="B431" s="87" t="s">
        <v>328</v>
      </c>
      <c r="C431" s="87" t="s">
        <v>5286</v>
      </c>
      <c r="D431" s="89">
        <v>199605.15</v>
      </c>
      <c r="E431" s="89"/>
      <c r="F431" s="89"/>
      <c r="G431" s="87" t="str">
        <f t="shared" si="6"/>
        <v>115310100'= PRODUTOS EM ELABORACAOIC2023003</v>
      </c>
      <c r="H431" s="87" t="str">
        <f>VLOOKUP(Tabela1[[#This Row],[CONCATENAR]],'Classificações - Demonstrações'!$A$5:$C$46003,2,)</f>
        <v>Estoque</v>
      </c>
      <c r="I431" s="87"/>
    </row>
    <row r="432" spans="1:9" ht="12.75" customHeight="1" x14ac:dyDescent="0.2">
      <c r="A432" s="94" t="s">
        <v>5284</v>
      </c>
      <c r="B432" s="87" t="s">
        <v>328</v>
      </c>
      <c r="C432" s="87" t="s">
        <v>5287</v>
      </c>
      <c r="D432" s="89">
        <v>0</v>
      </c>
      <c r="E432" s="89"/>
      <c r="F432" s="89"/>
      <c r="G432" s="87" t="str">
        <f t="shared" si="6"/>
        <v>115310100'= PRODUTOS EM ELABORACAOIC2023004</v>
      </c>
      <c r="H432" s="87" t="str">
        <f>VLOOKUP(Tabela1[[#This Row],[CONCATENAR]],'Classificações - Demonstrações'!$A$5:$C$46003,2,)</f>
        <v>Estoque</v>
      </c>
      <c r="I432" s="87"/>
    </row>
    <row r="433" spans="1:9" ht="12.75" customHeight="1" x14ac:dyDescent="0.2">
      <c r="A433" s="94" t="s">
        <v>5284</v>
      </c>
      <c r="B433" s="87" t="s">
        <v>328</v>
      </c>
      <c r="C433" s="87" t="s">
        <v>5288</v>
      </c>
      <c r="D433" s="89">
        <v>683190.69</v>
      </c>
      <c r="E433" s="89"/>
      <c r="F433" s="89"/>
      <c r="G433" s="87" t="str">
        <f t="shared" si="6"/>
        <v>115310100'= PRODUTOS EM ELABORACAOIC2023005</v>
      </c>
      <c r="H433" s="87" t="str">
        <f>VLOOKUP(Tabela1[[#This Row],[CONCATENAR]],'Classificações - Demonstrações'!$A$5:$C$46003,2,)</f>
        <v>Estoque</v>
      </c>
      <c r="I433" s="87"/>
    </row>
    <row r="434" spans="1:9" ht="12.75" customHeight="1" x14ac:dyDescent="0.2">
      <c r="A434" s="94" t="s">
        <v>5284</v>
      </c>
      <c r="B434" s="87" t="s">
        <v>328</v>
      </c>
      <c r="C434" s="87" t="s">
        <v>5289</v>
      </c>
      <c r="D434" s="89">
        <v>357379.35</v>
      </c>
      <c r="E434" s="88"/>
      <c r="F434" s="88"/>
      <c r="G434" s="87" t="str">
        <f t="shared" si="6"/>
        <v>115310100'= PRODUTOS EM ELABORACAOIC2023006</v>
      </c>
      <c r="H434" s="87" t="str">
        <f>VLOOKUP(Tabela1[[#This Row],[CONCATENAR]],'Classificações - Demonstrações'!$A$5:$C$46003,2,)</f>
        <v>Estoque</v>
      </c>
      <c r="I434" s="87"/>
    </row>
    <row r="435" spans="1:9" ht="12.75" customHeight="1" x14ac:dyDescent="0.2">
      <c r="A435" s="94" t="s">
        <v>5284</v>
      </c>
      <c r="B435" s="87" t="s">
        <v>328</v>
      </c>
      <c r="C435" s="87" t="s">
        <v>5660</v>
      </c>
      <c r="D435" s="89">
        <v>3939177.14</v>
      </c>
      <c r="E435" s="89"/>
      <c r="F435" s="89"/>
      <c r="G435" s="87" t="str">
        <f t="shared" si="6"/>
        <v>115310100'= PRODUTOS EM ELABORACAOIC2023007</v>
      </c>
      <c r="H435" s="87" t="str">
        <f>VLOOKUP(Tabela1[[#This Row],[CONCATENAR]],'Classificações - Demonstrações'!$A$5:$C$46003,2,)</f>
        <v>Estoque</v>
      </c>
      <c r="I435" s="87"/>
    </row>
    <row r="436" spans="1:9" ht="12.75" customHeight="1" x14ac:dyDescent="0.2">
      <c r="A436" s="94" t="s">
        <v>5284</v>
      </c>
      <c r="B436" s="87" t="s">
        <v>328</v>
      </c>
      <c r="C436" s="87" t="s">
        <v>5290</v>
      </c>
      <c r="D436" s="89">
        <v>455045.83</v>
      </c>
      <c r="E436" s="89"/>
      <c r="F436" s="89"/>
      <c r="G436" s="87" t="str">
        <f t="shared" si="6"/>
        <v>115310100'= PRODUTOS EM ELABORACAOIC2023008</v>
      </c>
      <c r="H436" s="87" t="str">
        <f>VLOOKUP(Tabela1[[#This Row],[CONCATENAR]],'Classificações - Demonstrações'!$A$5:$C$46003,2,)</f>
        <v>Estoque</v>
      </c>
      <c r="I436" s="87"/>
    </row>
    <row r="437" spans="1:9" ht="12.75" customHeight="1" x14ac:dyDescent="0.2">
      <c r="A437" s="94" t="s">
        <v>5284</v>
      </c>
      <c r="B437" s="87" t="s">
        <v>328</v>
      </c>
      <c r="C437" s="87" t="s">
        <v>5291</v>
      </c>
      <c r="D437" s="89">
        <v>138051.87</v>
      </c>
      <c r="E437" s="88"/>
      <c r="F437" s="88"/>
      <c r="G437" s="87" t="str">
        <f t="shared" si="6"/>
        <v>115310100'= PRODUTOS EM ELABORACAOIC2023009</v>
      </c>
      <c r="H437" s="87" t="str">
        <f>VLOOKUP(Tabela1[[#This Row],[CONCATENAR]],'Classificações - Demonstrações'!$A$5:$C$46003,2,)</f>
        <v>Estoque</v>
      </c>
      <c r="I437" s="87"/>
    </row>
    <row r="438" spans="1:9" ht="12.75" customHeight="1" x14ac:dyDescent="0.2">
      <c r="A438" s="94" t="s">
        <v>5284</v>
      </c>
      <c r="B438" s="87" t="s">
        <v>328</v>
      </c>
      <c r="C438" s="87" t="s">
        <v>5292</v>
      </c>
      <c r="D438" s="88">
        <v>274351.57</v>
      </c>
      <c r="E438" s="89"/>
      <c r="F438" s="89"/>
      <c r="G438" s="87" t="str">
        <f t="shared" si="6"/>
        <v>115310100'= PRODUTOS EM ELABORACAOIC2023010</v>
      </c>
      <c r="H438" s="87" t="str">
        <f>VLOOKUP(Tabela1[[#This Row],[CONCATENAR]],'Classificações - Demonstrações'!$A$5:$C$46003,2,)</f>
        <v>Estoque</v>
      </c>
      <c r="I438" s="87"/>
    </row>
    <row r="439" spans="1:9" s="84" customFormat="1" ht="12.75" customHeight="1" x14ac:dyDescent="0.2">
      <c r="A439" s="95" t="s">
        <v>5284</v>
      </c>
      <c r="B439" s="84" t="s">
        <v>328</v>
      </c>
      <c r="C439" s="84" t="s">
        <v>5293</v>
      </c>
      <c r="D439" s="86">
        <v>44009.11</v>
      </c>
      <c r="E439" s="85"/>
      <c r="F439" s="85"/>
      <c r="G439" s="84" t="str">
        <f t="shared" si="6"/>
        <v>115310100'= PRODUTOS EM ELABORACAOIC2023011</v>
      </c>
      <c r="H439" s="84" t="str">
        <f>VLOOKUP(Tabela1[[#This Row],[CONCATENAR]],'Classificações - Demonstrações'!$A$5:$C$46003,2,)</f>
        <v>Estoque</v>
      </c>
    </row>
    <row r="440" spans="1:9" ht="12.75" customHeight="1" x14ac:dyDescent="0.2">
      <c r="A440" s="94" t="s">
        <v>5284</v>
      </c>
      <c r="B440" s="87" t="s">
        <v>328</v>
      </c>
      <c r="C440" s="87" t="s">
        <v>5294</v>
      </c>
      <c r="D440" s="89">
        <v>2180532.2799999998</v>
      </c>
      <c r="E440" s="88"/>
      <c r="F440" s="88"/>
      <c r="G440" s="87" t="str">
        <f t="shared" si="6"/>
        <v>115310100'= PRODUTOS EM ELABORACAOIC2023012</v>
      </c>
      <c r="H440" s="87" t="str">
        <f>VLOOKUP(Tabela1[[#This Row],[CONCATENAR]],'Classificações - Demonstrações'!$A$5:$C$46003,2,)</f>
        <v>Estoque</v>
      </c>
      <c r="I440" s="87"/>
    </row>
    <row r="441" spans="1:9" ht="12.75" customHeight="1" x14ac:dyDescent="0.2">
      <c r="A441" s="94" t="s">
        <v>5284</v>
      </c>
      <c r="B441" s="87" t="s">
        <v>328</v>
      </c>
      <c r="C441" s="87" t="s">
        <v>5295</v>
      </c>
      <c r="D441" s="89">
        <v>91289.15</v>
      </c>
      <c r="E441" s="88"/>
      <c r="F441" s="88"/>
      <c r="G441" s="87" t="str">
        <f t="shared" si="6"/>
        <v>115310100'= PRODUTOS EM ELABORACAOIC2023013</v>
      </c>
      <c r="H441" s="87" t="str">
        <f>VLOOKUP(Tabela1[[#This Row],[CONCATENAR]],'Classificações - Demonstrações'!$A$5:$C$46003,2,)</f>
        <v>Estoque</v>
      </c>
      <c r="I441" s="87"/>
    </row>
    <row r="442" spans="1:9" ht="12.75" customHeight="1" x14ac:dyDescent="0.2">
      <c r="A442" s="94" t="s">
        <v>5284</v>
      </c>
      <c r="B442" s="87" t="s">
        <v>328</v>
      </c>
      <c r="C442" s="87" t="s">
        <v>6009</v>
      </c>
      <c r="D442" s="89">
        <v>0</v>
      </c>
      <c r="E442" s="88"/>
      <c r="F442" s="88"/>
      <c r="G442" s="87" t="str">
        <f t="shared" si="6"/>
        <v>115310100'= PRODUTOS EM ELABORACAOIC2023014</v>
      </c>
      <c r="H442" s="87" t="str">
        <f>VLOOKUP(Tabela1[[#This Row],[CONCATENAR]],'Classificações - Demonstrações'!$A$5:$C$46003,2,)</f>
        <v>Estoque</v>
      </c>
      <c r="I442" s="87"/>
    </row>
    <row r="443" spans="1:9" ht="12.75" customHeight="1" x14ac:dyDescent="0.2">
      <c r="A443" s="94" t="s">
        <v>5284</v>
      </c>
      <c r="B443" s="87" t="s">
        <v>328</v>
      </c>
      <c r="C443" s="87" t="s">
        <v>6011</v>
      </c>
      <c r="D443" s="89">
        <v>376520.03</v>
      </c>
      <c r="E443" s="88"/>
      <c r="F443" s="88"/>
      <c r="G443" s="87" t="str">
        <f t="shared" si="6"/>
        <v>115310100'= PRODUTOS EM ELABORACAOIC2023015</v>
      </c>
      <c r="H443" s="87" t="str">
        <f>VLOOKUP(Tabela1[[#This Row],[CONCATENAR]],'Classificações - Demonstrações'!$A$5:$C$46003,2,)</f>
        <v>Estoque</v>
      </c>
      <c r="I443" s="87"/>
    </row>
    <row r="444" spans="1:9" ht="12.75" customHeight="1" x14ac:dyDescent="0.2">
      <c r="A444" s="94" t="s">
        <v>5284</v>
      </c>
      <c r="B444" s="87" t="s">
        <v>328</v>
      </c>
      <c r="C444" s="87" t="s">
        <v>6010</v>
      </c>
      <c r="D444" s="89">
        <v>0</v>
      </c>
      <c r="E444" s="88"/>
      <c r="F444" s="88"/>
      <c r="G444" s="87" t="str">
        <f t="shared" si="6"/>
        <v>115310100'= PRODUTOS EM ELABORACAOIC2023016</v>
      </c>
      <c r="H444" s="87" t="str">
        <f>VLOOKUP(Tabela1[[#This Row],[CONCATENAR]],'Classificações - Demonstrações'!$A$5:$C$46003,2,)</f>
        <v>Estoque</v>
      </c>
      <c r="I444" s="87"/>
    </row>
    <row r="445" spans="1:9" ht="12.75" customHeight="1" x14ac:dyDescent="0.2">
      <c r="A445" s="94" t="s">
        <v>5296</v>
      </c>
      <c r="B445" s="87" t="s">
        <v>336</v>
      </c>
      <c r="C445" s="87" t="s">
        <v>319</v>
      </c>
      <c r="D445" s="89">
        <v>37349256.340000004</v>
      </c>
      <c r="E445" s="88"/>
      <c r="F445" s="88"/>
      <c r="G445" s="87" t="str">
        <f t="shared" si="6"/>
        <v>115410100MATERIAS-PRIMAS - ARMAZENS PROPRIOSSEM INFORMACAO</v>
      </c>
      <c r="H445" s="87" t="str">
        <f>VLOOKUP(Tabela1[[#This Row],[CONCATENAR]],'Classificações - Demonstrações'!$A$5:$C$46003,2,)</f>
        <v>Estoque</v>
      </c>
      <c r="I445" s="87"/>
    </row>
    <row r="446" spans="1:9" ht="12.75" customHeight="1" x14ac:dyDescent="0.2">
      <c r="A446" s="94" t="s">
        <v>5297</v>
      </c>
      <c r="B446" s="87" t="s">
        <v>337</v>
      </c>
      <c r="C446" s="87" t="s">
        <v>338</v>
      </c>
      <c r="D446" s="89">
        <v>136323.85</v>
      </c>
      <c r="E446" s="88"/>
      <c r="F446" s="88"/>
      <c r="G446" s="87" t="str">
        <f t="shared" si="6"/>
        <v>115610100'= MATERIAIS DE CONSUMO03</v>
      </c>
      <c r="H446" s="87" t="str">
        <f>VLOOKUP(Tabela1[[#This Row],[CONCATENAR]],'Classificações - Demonstrações'!$A$5:$C$46003,2,)</f>
        <v>Estoque</v>
      </c>
      <c r="I446" s="87"/>
    </row>
    <row r="447" spans="1:9" ht="12.75" customHeight="1" x14ac:dyDescent="0.2">
      <c r="A447" s="94" t="s">
        <v>5297</v>
      </c>
      <c r="B447" s="87" t="s">
        <v>337</v>
      </c>
      <c r="C447" s="87" t="s">
        <v>339</v>
      </c>
      <c r="D447" s="89">
        <v>233338.65</v>
      </c>
      <c r="E447" s="88"/>
      <c r="F447" s="88"/>
      <c r="G447" s="87" t="str">
        <f t="shared" si="6"/>
        <v>115610100'= MATERIAIS DE CONSUMO04</v>
      </c>
      <c r="H447" s="87" t="str">
        <f>VLOOKUP(Tabela1[[#This Row],[CONCATENAR]],'Classificações - Demonstrações'!$A$5:$C$46003,2,)</f>
        <v>Estoque</v>
      </c>
      <c r="I447" s="87"/>
    </row>
    <row r="448" spans="1:9" ht="12.75" customHeight="1" x14ac:dyDescent="0.2">
      <c r="A448" s="94" t="s">
        <v>5297</v>
      </c>
      <c r="B448" s="87" t="s">
        <v>337</v>
      </c>
      <c r="C448" s="87" t="s">
        <v>340</v>
      </c>
      <c r="D448" s="89">
        <v>3954.29</v>
      </c>
      <c r="E448" s="88"/>
      <c r="F448" s="88"/>
      <c r="G448" s="87" t="str">
        <f t="shared" si="6"/>
        <v>115610100'= MATERIAIS DE CONSUMO11</v>
      </c>
      <c r="H448" s="87" t="str">
        <f>VLOOKUP(Tabela1[[#This Row],[CONCATENAR]],'Classificações - Demonstrações'!$A$5:$C$46003,2,)</f>
        <v>Estoque</v>
      </c>
      <c r="I448" s="87"/>
    </row>
    <row r="449" spans="1:9" ht="12.75" customHeight="1" x14ac:dyDescent="0.2">
      <c r="A449" s="94" t="s">
        <v>5297</v>
      </c>
      <c r="B449" s="87" t="s">
        <v>337</v>
      </c>
      <c r="C449" s="87" t="s">
        <v>342</v>
      </c>
      <c r="D449" s="89">
        <v>68848.69</v>
      </c>
      <c r="E449" s="88"/>
      <c r="F449" s="88"/>
      <c r="G449" s="87" t="str">
        <f t="shared" si="6"/>
        <v>115610100'= MATERIAIS DE CONSUMO16</v>
      </c>
      <c r="H449" s="87" t="str">
        <f>VLOOKUP(Tabela1[[#This Row],[CONCATENAR]],'Classificações - Demonstrações'!$A$5:$C$46003,2,)</f>
        <v>Estoque</v>
      </c>
      <c r="I449" s="87"/>
    </row>
    <row r="450" spans="1:9" ht="12.75" customHeight="1" x14ac:dyDescent="0.2">
      <c r="A450" s="94" t="s">
        <v>5297</v>
      </c>
      <c r="B450" s="87" t="s">
        <v>337</v>
      </c>
      <c r="C450" s="87" t="s">
        <v>343</v>
      </c>
      <c r="D450" s="89">
        <v>0</v>
      </c>
      <c r="E450" s="88"/>
      <c r="F450" s="88"/>
      <c r="G450" s="87" t="str">
        <f t="shared" si="6"/>
        <v>115610100'= MATERIAIS DE CONSUMO17</v>
      </c>
      <c r="H450" s="87" t="str">
        <f>VLOOKUP(Tabela1[[#This Row],[CONCATENAR]],'Classificações - Demonstrações'!$A$5:$C$46003,2,)</f>
        <v>Estoque</v>
      </c>
      <c r="I450" s="87"/>
    </row>
    <row r="451" spans="1:9" ht="12.75" customHeight="1" x14ac:dyDescent="0.2">
      <c r="A451" s="94" t="s">
        <v>5297</v>
      </c>
      <c r="B451" s="87" t="s">
        <v>337</v>
      </c>
      <c r="C451" s="87" t="s">
        <v>344</v>
      </c>
      <c r="D451" s="89">
        <v>56450.93</v>
      </c>
      <c r="E451" s="89"/>
      <c r="F451" s="89"/>
      <c r="G451" s="87" t="str">
        <f t="shared" si="6"/>
        <v>115610100'= MATERIAIS DE CONSUMO19</v>
      </c>
      <c r="H451" s="87" t="str">
        <f>VLOOKUP(Tabela1[[#This Row],[CONCATENAR]],'Classificações - Demonstrações'!$A$5:$C$46003,2,)</f>
        <v>Estoque</v>
      </c>
      <c r="I451" s="87"/>
    </row>
    <row r="452" spans="1:9" ht="12.75" customHeight="1" x14ac:dyDescent="0.2">
      <c r="A452" s="94" t="s">
        <v>5297</v>
      </c>
      <c r="B452" s="87" t="s">
        <v>337</v>
      </c>
      <c r="C452" s="87" t="s">
        <v>345</v>
      </c>
      <c r="D452" s="89">
        <v>48532.17</v>
      </c>
      <c r="E452" s="88"/>
      <c r="F452" s="88"/>
      <c r="G452" s="87" t="str">
        <f t="shared" si="6"/>
        <v>115610100'= MATERIAIS DE CONSUMO21</v>
      </c>
      <c r="H452" s="87" t="str">
        <f>VLOOKUP(Tabela1[[#This Row],[CONCATENAR]],'Classificações - Demonstrações'!$A$5:$C$46003,2,)</f>
        <v>Estoque</v>
      </c>
      <c r="I452" s="87"/>
    </row>
    <row r="453" spans="1:9" ht="12.75" customHeight="1" x14ac:dyDescent="0.2">
      <c r="A453" s="94" t="s">
        <v>5297</v>
      </c>
      <c r="B453" s="87" t="s">
        <v>337</v>
      </c>
      <c r="C453" s="87" t="s">
        <v>346</v>
      </c>
      <c r="D453" s="89">
        <v>-905</v>
      </c>
      <c r="E453" s="89"/>
      <c r="F453" s="89"/>
      <c r="G453" s="87" t="str">
        <f t="shared" ref="G453:G516" si="7">CONCATENATE(A453,B453,C453)</f>
        <v>115610100'= MATERIAIS DE CONSUMO22</v>
      </c>
      <c r="H453" s="87" t="str">
        <f>VLOOKUP(Tabela1[[#This Row],[CONCATENAR]],'Classificações - Demonstrações'!$A$5:$C$46003,2,)</f>
        <v>Estoque</v>
      </c>
      <c r="I453" s="87"/>
    </row>
    <row r="454" spans="1:9" ht="12.75" customHeight="1" x14ac:dyDescent="0.2">
      <c r="A454" s="94" t="s">
        <v>5297</v>
      </c>
      <c r="B454" s="87" t="s">
        <v>337</v>
      </c>
      <c r="C454" s="87" t="s">
        <v>347</v>
      </c>
      <c r="D454" s="89">
        <v>78351.16</v>
      </c>
      <c r="E454" s="88"/>
      <c r="F454" s="88"/>
      <c r="G454" s="87" t="str">
        <f t="shared" si="7"/>
        <v>115610100'= MATERIAIS DE CONSUMO23</v>
      </c>
      <c r="H454" s="87" t="str">
        <f>VLOOKUP(Tabela1[[#This Row],[CONCATENAR]],'Classificações - Demonstrações'!$A$5:$C$46003,2,)</f>
        <v>Estoque</v>
      </c>
      <c r="I454" s="87"/>
    </row>
    <row r="455" spans="1:9" ht="12.75" customHeight="1" x14ac:dyDescent="0.2">
      <c r="A455" s="94" t="s">
        <v>5297</v>
      </c>
      <c r="B455" s="87" t="s">
        <v>337</v>
      </c>
      <c r="C455" s="87" t="s">
        <v>348</v>
      </c>
      <c r="D455" s="89">
        <v>469068.31</v>
      </c>
      <c r="E455" s="89"/>
      <c r="F455" s="89"/>
      <c r="G455" s="87" t="str">
        <f t="shared" si="7"/>
        <v>115610100'= MATERIAIS DE CONSUMO24</v>
      </c>
      <c r="H455" s="87" t="str">
        <f>VLOOKUP(Tabela1[[#This Row],[CONCATENAR]],'Classificações - Demonstrações'!$A$5:$C$46003,2,)</f>
        <v>Estoque</v>
      </c>
      <c r="I455" s="87"/>
    </row>
    <row r="456" spans="1:9" ht="12.75" customHeight="1" x14ac:dyDescent="0.2">
      <c r="A456" s="94" t="s">
        <v>5297</v>
      </c>
      <c r="B456" s="87" t="s">
        <v>337</v>
      </c>
      <c r="C456" s="87" t="s">
        <v>349</v>
      </c>
      <c r="D456" s="88">
        <v>60645.35</v>
      </c>
      <c r="E456" s="89"/>
      <c r="F456" s="89"/>
      <c r="G456" s="87" t="str">
        <f t="shared" si="7"/>
        <v>115610100'= MATERIAIS DE CONSUMO25</v>
      </c>
      <c r="H456" s="87" t="str">
        <f>VLOOKUP(Tabela1[[#This Row],[CONCATENAR]],'Classificações - Demonstrações'!$A$5:$C$46003,2,)</f>
        <v>Estoque</v>
      </c>
      <c r="I456" s="87"/>
    </row>
    <row r="457" spans="1:9" ht="12.75" customHeight="1" x14ac:dyDescent="0.2">
      <c r="A457" s="94" t="s">
        <v>5297</v>
      </c>
      <c r="B457" s="87" t="s">
        <v>337</v>
      </c>
      <c r="C457" s="87" t="s">
        <v>350</v>
      </c>
      <c r="D457" s="89">
        <v>919521.74</v>
      </c>
      <c r="E457" s="88"/>
      <c r="F457" s="88"/>
      <c r="G457" s="87" t="str">
        <f t="shared" si="7"/>
        <v>115610100'= MATERIAIS DE CONSUMO26</v>
      </c>
      <c r="H457" s="87" t="str">
        <f>VLOOKUP(Tabela1[[#This Row],[CONCATENAR]],'Classificações - Demonstrações'!$A$5:$C$46003,2,)</f>
        <v>Estoque</v>
      </c>
      <c r="I457" s="87"/>
    </row>
    <row r="458" spans="1:9" ht="12.75" customHeight="1" x14ac:dyDescent="0.2">
      <c r="A458" s="94" t="s">
        <v>5297</v>
      </c>
      <c r="B458" s="87" t="s">
        <v>337</v>
      </c>
      <c r="C458" s="87" t="s">
        <v>351</v>
      </c>
      <c r="D458" s="89">
        <v>490837.82</v>
      </c>
      <c r="E458" s="88"/>
      <c r="F458" s="88"/>
      <c r="G458" s="87" t="str">
        <f t="shared" si="7"/>
        <v>115610100'= MATERIAIS DE CONSUMO28</v>
      </c>
      <c r="H458" s="87" t="str">
        <f>VLOOKUP(Tabela1[[#This Row],[CONCATENAR]],'Classificações - Demonstrações'!$A$5:$C$46003,2,)</f>
        <v>Estoque</v>
      </c>
      <c r="I458" s="87"/>
    </row>
    <row r="459" spans="1:9" ht="12.75" customHeight="1" x14ac:dyDescent="0.2">
      <c r="A459" s="94" t="s">
        <v>5297</v>
      </c>
      <c r="B459" s="87" t="s">
        <v>337</v>
      </c>
      <c r="C459" s="87" t="s">
        <v>352</v>
      </c>
      <c r="D459" s="89">
        <v>2531272.2799999998</v>
      </c>
      <c r="E459" s="89"/>
      <c r="F459" s="89"/>
      <c r="G459" s="87" t="str">
        <f t="shared" si="7"/>
        <v>115610100'= MATERIAIS DE CONSUMO33</v>
      </c>
      <c r="H459" s="87" t="str">
        <f>VLOOKUP(Tabela1[[#This Row],[CONCATENAR]],'Classificações - Demonstrações'!$A$5:$C$46003,2,)</f>
        <v>Estoque</v>
      </c>
      <c r="I459" s="87"/>
    </row>
    <row r="460" spans="1:9" ht="12.75" customHeight="1" x14ac:dyDescent="0.2">
      <c r="A460" s="94" t="s">
        <v>5297</v>
      </c>
      <c r="B460" s="87" t="s">
        <v>337</v>
      </c>
      <c r="C460" s="87" t="s">
        <v>353</v>
      </c>
      <c r="D460" s="89">
        <v>79922.929999999993</v>
      </c>
      <c r="E460" s="88"/>
      <c r="F460" s="88"/>
      <c r="G460" s="87" t="str">
        <f t="shared" si="7"/>
        <v>115610100'= MATERIAIS DE CONSUMO35</v>
      </c>
      <c r="H460" s="87" t="str">
        <f>VLOOKUP(Tabela1[[#This Row],[CONCATENAR]],'Classificações - Demonstrações'!$A$5:$C$46003,2,)</f>
        <v>Estoque</v>
      </c>
      <c r="I460" s="87"/>
    </row>
    <row r="461" spans="1:9" ht="12.75" customHeight="1" x14ac:dyDescent="0.2">
      <c r="A461" s="94" t="s">
        <v>5297</v>
      </c>
      <c r="B461" s="87" t="s">
        <v>337</v>
      </c>
      <c r="C461" s="87" t="s">
        <v>4755</v>
      </c>
      <c r="D461" s="89">
        <v>27163.9</v>
      </c>
      <c r="E461" s="89"/>
      <c r="F461" s="89"/>
      <c r="G461" s="87" t="str">
        <f t="shared" si="7"/>
        <v>115610100'= MATERIAIS DE CONSUMO39</v>
      </c>
      <c r="H461" s="87" t="str">
        <f>VLOOKUP(Tabela1[[#This Row],[CONCATENAR]],'Classificações - Demonstrações'!$A$5:$C$46003,2,)</f>
        <v>Estoque</v>
      </c>
      <c r="I461" s="87"/>
    </row>
    <row r="462" spans="1:9" ht="12.75" customHeight="1" x14ac:dyDescent="0.2">
      <c r="A462" s="94" t="s">
        <v>5297</v>
      </c>
      <c r="B462" s="87" t="s">
        <v>337</v>
      </c>
      <c r="C462" s="87" t="s">
        <v>354</v>
      </c>
      <c r="D462" s="89">
        <v>320614.26</v>
      </c>
      <c r="E462" s="89"/>
      <c r="F462" s="89"/>
      <c r="G462" s="87" t="str">
        <f t="shared" si="7"/>
        <v>115610100'= MATERIAIS DE CONSUMO42</v>
      </c>
      <c r="H462" s="87" t="str">
        <f>VLOOKUP(Tabela1[[#This Row],[CONCATENAR]],'Classificações - Demonstrações'!$A$5:$C$46003,2,)</f>
        <v>Estoque</v>
      </c>
      <c r="I462" s="87"/>
    </row>
    <row r="463" spans="1:9" ht="12.75" customHeight="1" x14ac:dyDescent="0.2">
      <c r="A463" s="94" t="s">
        <v>5297</v>
      </c>
      <c r="B463" s="87" t="s">
        <v>337</v>
      </c>
      <c r="C463" s="87" t="s">
        <v>355</v>
      </c>
      <c r="D463" s="88">
        <v>11008.13</v>
      </c>
      <c r="E463" s="89"/>
      <c r="F463" s="89"/>
      <c r="G463" s="87" t="str">
        <f t="shared" si="7"/>
        <v>115610100'= MATERIAIS DE CONSUMO44</v>
      </c>
      <c r="H463" s="87" t="str">
        <f>VLOOKUP(Tabela1[[#This Row],[CONCATENAR]],'Classificações - Demonstrações'!$A$5:$C$46003,2,)</f>
        <v>Estoque</v>
      </c>
      <c r="I463" s="87"/>
    </row>
    <row r="464" spans="1:9" ht="12.75" customHeight="1" x14ac:dyDescent="0.2">
      <c r="A464" s="94" t="s">
        <v>5297</v>
      </c>
      <c r="B464" s="87" t="s">
        <v>337</v>
      </c>
      <c r="C464" s="87" t="s">
        <v>356</v>
      </c>
      <c r="D464" s="88">
        <v>2900212.51</v>
      </c>
      <c r="E464" s="89"/>
      <c r="F464" s="89"/>
      <c r="G464" s="87" t="str">
        <f t="shared" si="7"/>
        <v>115610100'= MATERIAIS DE CONSUMO58</v>
      </c>
      <c r="H464" s="87" t="str">
        <f>VLOOKUP(Tabela1[[#This Row],[CONCATENAR]],'Classificações - Demonstrações'!$A$5:$C$46003,2,)</f>
        <v>Estoque</v>
      </c>
      <c r="I464" s="87"/>
    </row>
    <row r="465" spans="1:9" ht="12.75" customHeight="1" x14ac:dyDescent="0.2">
      <c r="A465" s="94" t="s">
        <v>5297</v>
      </c>
      <c r="B465" s="87" t="s">
        <v>337</v>
      </c>
      <c r="C465" s="87" t="s">
        <v>357</v>
      </c>
      <c r="D465" s="89">
        <v>3415</v>
      </c>
      <c r="E465" s="88"/>
      <c r="F465" s="88"/>
      <c r="G465" s="87" t="str">
        <f t="shared" si="7"/>
        <v>115610100'= MATERIAIS DE CONSUMO59</v>
      </c>
      <c r="H465" s="87" t="str">
        <f>VLOOKUP(Tabela1[[#This Row],[CONCATENAR]],'Classificações - Demonstrações'!$A$5:$C$46003,2,)</f>
        <v>Estoque</v>
      </c>
      <c r="I465" s="87"/>
    </row>
    <row r="466" spans="1:9" ht="12.75" customHeight="1" x14ac:dyDescent="0.2">
      <c r="A466" s="94" t="s">
        <v>5297</v>
      </c>
      <c r="B466" s="87" t="s">
        <v>337</v>
      </c>
      <c r="C466" s="87" t="s">
        <v>5557</v>
      </c>
      <c r="D466" s="88">
        <v>86933.11</v>
      </c>
      <c r="E466" s="89"/>
      <c r="F466" s="89"/>
      <c r="G466" s="87" t="str">
        <f t="shared" si="7"/>
        <v>115610100'= MATERIAIS DE CONSUMO62</v>
      </c>
      <c r="H466" s="87" t="str">
        <f>VLOOKUP(Tabela1[[#This Row],[CONCATENAR]],'Classificações - Demonstrações'!$A$5:$C$46003,2,)</f>
        <v>Estoque</v>
      </c>
      <c r="I466" s="87"/>
    </row>
    <row r="467" spans="1:9" ht="12.75" customHeight="1" x14ac:dyDescent="0.2">
      <c r="A467" s="94" t="s">
        <v>5297</v>
      </c>
      <c r="B467" s="87" t="s">
        <v>337</v>
      </c>
      <c r="C467" s="87" t="s">
        <v>358</v>
      </c>
      <c r="D467" s="88">
        <v>223419.76</v>
      </c>
      <c r="E467" s="89"/>
      <c r="F467" s="89"/>
      <c r="G467" s="87" t="str">
        <f t="shared" si="7"/>
        <v>115610100'= MATERIAIS DE CONSUMO99</v>
      </c>
      <c r="H467" s="87" t="str">
        <f>VLOOKUP(Tabela1[[#This Row],[CONCATENAR]],'Classificações - Demonstrações'!$A$5:$C$46003,2,)</f>
        <v>Estoque</v>
      </c>
      <c r="I467" s="87"/>
    </row>
    <row r="468" spans="1:9" ht="12.75" customHeight="1" x14ac:dyDescent="0.2">
      <c r="A468" s="94" t="s">
        <v>5298</v>
      </c>
      <c r="B468" s="87" t="s">
        <v>359</v>
      </c>
      <c r="C468" s="87" t="s">
        <v>319</v>
      </c>
      <c r="D468" s="89">
        <v>4409091</v>
      </c>
      <c r="E468" s="88"/>
      <c r="F468" s="88"/>
      <c r="G468" s="87" t="str">
        <f t="shared" si="7"/>
        <v>115810500IMPORTACOES EM ANDAMENTO - ESTOQUESSEM INFORMACAO</v>
      </c>
      <c r="H468" s="87" t="str">
        <f>VLOOKUP(Tabela1[[#This Row],[CONCATENAR]],'Classificações - Demonstrações'!$A$5:$C$46003,2,)</f>
        <v>Estoque</v>
      </c>
      <c r="I468" s="87"/>
    </row>
    <row r="469" spans="1:9" ht="12.75" customHeight="1" x14ac:dyDescent="0.2">
      <c r="A469" s="94" t="s">
        <v>5299</v>
      </c>
      <c r="B469" s="87" t="s">
        <v>4756</v>
      </c>
      <c r="C469" s="87" t="s">
        <v>20</v>
      </c>
      <c r="D469" s="88">
        <v>14000</v>
      </c>
      <c r="E469" s="89"/>
      <c r="F469" s="89"/>
      <c r="G469" s="87" t="str">
        <f t="shared" si="7"/>
        <v>121110203'= FATURAS/DUPLIC A RECEBER - ESTOQUE PROPRIO01541664000120</v>
      </c>
      <c r="H469" s="87" t="str">
        <f>VLOOKUP(Tabela1[[#This Row],[CONCATENAR]],'Classificações - Demonstrações'!$A$5:$C$46003,2,)</f>
        <v>Contas a  Receber</v>
      </c>
      <c r="I469" s="87"/>
    </row>
    <row r="470" spans="1:9" ht="12.75" customHeight="1" x14ac:dyDescent="0.2">
      <c r="A470" s="94" t="s">
        <v>5299</v>
      </c>
      <c r="B470" s="87" t="s">
        <v>4756</v>
      </c>
      <c r="C470" s="87" t="s">
        <v>21</v>
      </c>
      <c r="D470" s="88">
        <v>10558329.76</v>
      </c>
      <c r="E470" s="89"/>
      <c r="F470" s="89"/>
      <c r="G470" s="87" t="str">
        <f t="shared" si="7"/>
        <v>121110203'= FATURAS/DUPLIC A RECEBER - ESTOQUE PROPRIO03669753000182</v>
      </c>
      <c r="H470" s="87" t="str">
        <f>VLOOKUP(Tabela1[[#This Row],[CONCATENAR]],'Classificações - Demonstrações'!$A$5:$C$46003,2,)</f>
        <v>Contas a  Receber</v>
      </c>
      <c r="I470" s="87"/>
    </row>
    <row r="471" spans="1:9" ht="12.75" customHeight="1" x14ac:dyDescent="0.2">
      <c r="A471" s="94" t="s">
        <v>5299</v>
      </c>
      <c r="B471" s="87" t="s">
        <v>4756</v>
      </c>
      <c r="C471" s="87" t="s">
        <v>23</v>
      </c>
      <c r="D471" s="89">
        <v>2057313.67</v>
      </c>
      <c r="E471" s="88"/>
      <c r="F471" s="88"/>
      <c r="G471" s="87" t="str">
        <f t="shared" si="7"/>
        <v>121110203'= FATURAS/DUPLIC A RECEBER - ESTOQUE PROPRIO05436017000100</v>
      </c>
      <c r="H471" s="87" t="str">
        <f>VLOOKUP(Tabela1[[#This Row],[CONCATENAR]],'Classificações - Demonstrações'!$A$5:$C$46003,2,)</f>
        <v>Contas a  Receber</v>
      </c>
      <c r="I471" s="87"/>
    </row>
    <row r="472" spans="1:9" ht="12.75" customHeight="1" x14ac:dyDescent="0.2">
      <c r="A472" s="94" t="s">
        <v>5299</v>
      </c>
      <c r="B472" s="87" t="s">
        <v>4756</v>
      </c>
      <c r="C472" s="87" t="s">
        <v>25</v>
      </c>
      <c r="D472" s="88">
        <v>2343310.7400000002</v>
      </c>
      <c r="E472" s="89"/>
      <c r="F472" s="89"/>
      <c r="G472" s="87" t="str">
        <f t="shared" si="7"/>
        <v>121110203'= FATURAS/DUPLIC A RECEBER - ESTOQUE PROPRIO33220880000837</v>
      </c>
      <c r="H472" s="87" t="str">
        <f>VLOOKUP(Tabela1[[#This Row],[CONCATENAR]],'Classificações - Demonstrações'!$A$5:$C$46003,2,)</f>
        <v>Contas a  Receber</v>
      </c>
      <c r="I472" s="87"/>
    </row>
    <row r="473" spans="1:9" ht="12.75" customHeight="1" x14ac:dyDescent="0.2">
      <c r="A473" s="94" t="s">
        <v>5299</v>
      </c>
      <c r="B473" s="87" t="s">
        <v>4756</v>
      </c>
      <c r="C473" s="87" t="s">
        <v>26</v>
      </c>
      <c r="D473" s="88">
        <v>7854431.3399999999</v>
      </c>
      <c r="E473" s="89"/>
      <c r="F473" s="89"/>
      <c r="G473" s="87" t="str">
        <f t="shared" si="7"/>
        <v>121110203'= FATURAS/DUPLIC A RECEBER - ESTOQUE PROPRIO33247271001177</v>
      </c>
      <c r="H473" s="87" t="str">
        <f>VLOOKUP(Tabela1[[#This Row],[CONCATENAR]],'Classificações - Demonstrações'!$A$5:$C$46003,2,)</f>
        <v>Contas a  Receber</v>
      </c>
      <c r="I473" s="87"/>
    </row>
    <row r="474" spans="1:9" ht="12.75" customHeight="1" x14ac:dyDescent="0.2">
      <c r="A474" s="94" t="s">
        <v>5299</v>
      </c>
      <c r="B474" s="87" t="s">
        <v>4756</v>
      </c>
      <c r="C474" s="87" t="s">
        <v>28</v>
      </c>
      <c r="D474" s="89">
        <v>50000</v>
      </c>
      <c r="E474" s="88"/>
      <c r="F474" s="88"/>
      <c r="G474" s="87" t="str">
        <f t="shared" si="7"/>
        <v>121110203'= FATURAS/DUPLIC A RECEBER - ESTOQUE PROPRIO40321754000168</v>
      </c>
      <c r="H474" s="87" t="str">
        <f>VLOOKUP(Tabela1[[#This Row],[CONCATENAR]],'Classificações - Demonstrações'!$A$5:$C$46003,2,)</f>
        <v>Contas a  Receber</v>
      </c>
      <c r="I474" s="87"/>
    </row>
    <row r="475" spans="1:9" ht="12.75" customHeight="1" x14ac:dyDescent="0.2">
      <c r="A475" s="94" t="s">
        <v>5300</v>
      </c>
      <c r="B475" s="87" t="s">
        <v>4757</v>
      </c>
      <c r="C475" s="87" t="s">
        <v>34</v>
      </c>
      <c r="D475" s="88">
        <v>15444</v>
      </c>
      <c r="E475" s="89"/>
      <c r="F475" s="89"/>
      <c r="G475" s="87" t="str">
        <f t="shared" si="7"/>
        <v>121110206'= FATURAS/DUPLIC A RECEBER - PRESTACAO SERVICOS02154943001176</v>
      </c>
      <c r="H475" s="87" t="str">
        <f>VLOOKUP(Tabela1[[#This Row],[CONCATENAR]],'Classificações - Demonstrações'!$A$5:$C$46003,2,)</f>
        <v>Contas a  Receber</v>
      </c>
      <c r="I475" s="87"/>
    </row>
    <row r="476" spans="1:9" ht="12.75" customHeight="1" x14ac:dyDescent="0.2">
      <c r="A476" s="94" t="s">
        <v>5300</v>
      </c>
      <c r="B476" s="87" t="s">
        <v>4757</v>
      </c>
      <c r="C476" s="87" t="s">
        <v>35</v>
      </c>
      <c r="D476" s="88">
        <v>1712689.23</v>
      </c>
      <c r="E476" s="89"/>
      <c r="F476" s="89"/>
      <c r="G476" s="87" t="str">
        <f t="shared" si="7"/>
        <v>121110206'= FATURAS/DUPLIC A RECEBER - PRESTACAO SERVICOS02381910000197</v>
      </c>
      <c r="H476" s="87" t="str">
        <f>VLOOKUP(Tabela1[[#This Row],[CONCATENAR]],'Classificações - Demonstrações'!$A$5:$C$46003,2,)</f>
        <v>Contas a  Receber</v>
      </c>
      <c r="I476" s="87"/>
    </row>
    <row r="477" spans="1:9" ht="12.75" customHeight="1" x14ac:dyDescent="0.2">
      <c r="A477" s="94" t="s">
        <v>5300</v>
      </c>
      <c r="B477" s="87" t="s">
        <v>4757</v>
      </c>
      <c r="C477" s="87" t="s">
        <v>21</v>
      </c>
      <c r="D477" s="89">
        <v>436560</v>
      </c>
      <c r="E477" s="88"/>
      <c r="F477" s="88"/>
      <c r="G477" s="87" t="str">
        <f t="shared" si="7"/>
        <v>121110206'= FATURAS/DUPLIC A RECEBER - PRESTACAO SERVICOS03669753000182</v>
      </c>
      <c r="H477" s="87" t="str">
        <f>VLOOKUP(Tabela1[[#This Row],[CONCATENAR]],'Classificações - Demonstrações'!$A$5:$C$46003,2,)</f>
        <v>Contas a  Receber</v>
      </c>
      <c r="I477" s="87"/>
    </row>
    <row r="478" spans="1:9" ht="12.75" customHeight="1" x14ac:dyDescent="0.2">
      <c r="A478" s="94" t="s">
        <v>5300</v>
      </c>
      <c r="B478" s="87" t="s">
        <v>4757</v>
      </c>
      <c r="C478" s="87" t="s">
        <v>37</v>
      </c>
      <c r="D478" s="88">
        <v>524538</v>
      </c>
      <c r="E478" s="89"/>
      <c r="F478" s="89"/>
      <c r="G478" s="87" t="str">
        <f t="shared" si="7"/>
        <v>121110206'= FATURAS/DUPLIC A RECEBER - PRESTACAO SERVICOS04181506000103</v>
      </c>
      <c r="H478" s="87" t="str">
        <f>VLOOKUP(Tabela1[[#This Row],[CONCATENAR]],'Classificações - Demonstrações'!$A$5:$C$46003,2,)</f>
        <v>Contas a  Receber</v>
      </c>
      <c r="I478" s="87"/>
    </row>
    <row r="479" spans="1:9" ht="12.75" customHeight="1" x14ac:dyDescent="0.2">
      <c r="A479" s="94" t="s">
        <v>5300</v>
      </c>
      <c r="B479" s="87" t="s">
        <v>4757</v>
      </c>
      <c r="C479" s="87" t="s">
        <v>38</v>
      </c>
      <c r="D479" s="88">
        <v>7000</v>
      </c>
      <c r="E479" s="89"/>
      <c r="F479" s="89"/>
      <c r="G479" s="87" t="str">
        <f t="shared" si="7"/>
        <v>121110206'= FATURAS/DUPLIC A RECEBER - PRESTACAO SERVICOS10580217000171</v>
      </c>
      <c r="H479" s="87" t="str">
        <f>VLOOKUP(Tabela1[[#This Row],[CONCATENAR]],'Classificações - Demonstrações'!$A$5:$C$46003,2,)</f>
        <v>Contas a  Receber</v>
      </c>
      <c r="I479" s="87"/>
    </row>
    <row r="480" spans="1:9" ht="12.75" customHeight="1" x14ac:dyDescent="0.2">
      <c r="A480" s="94" t="s">
        <v>5300</v>
      </c>
      <c r="B480" s="87" t="s">
        <v>4757</v>
      </c>
      <c r="C480" s="87" t="s">
        <v>39</v>
      </c>
      <c r="D480" s="89">
        <v>12500</v>
      </c>
      <c r="E480" s="88"/>
      <c r="F480" s="88"/>
      <c r="G480" s="87" t="str">
        <f t="shared" si="7"/>
        <v>121110206'= FATURAS/DUPLIC A RECEBER - PRESTACAO SERVICOS33039223000111</v>
      </c>
      <c r="H480" s="87" t="str">
        <f>VLOOKUP(Tabela1[[#This Row],[CONCATENAR]],'Classificações - Demonstrações'!$A$5:$C$46003,2,)</f>
        <v>Contas a  Receber</v>
      </c>
      <c r="I480" s="87"/>
    </row>
    <row r="481" spans="1:9" ht="12.75" customHeight="1" x14ac:dyDescent="0.2">
      <c r="A481" s="94" t="s">
        <v>5300</v>
      </c>
      <c r="B481" s="87" t="s">
        <v>4757</v>
      </c>
      <c r="C481" s="87" t="s">
        <v>24</v>
      </c>
      <c r="D481" s="88">
        <v>37500</v>
      </c>
      <c r="E481" s="89"/>
      <c r="F481" s="89"/>
      <c r="G481" s="87" t="str">
        <f t="shared" si="7"/>
        <v>121110206'= FATURAS/DUPLIC A RECEBER - PRESTACAO SERVICOS33220880000160</v>
      </c>
      <c r="H481" s="87" t="str">
        <f>VLOOKUP(Tabela1[[#This Row],[CONCATENAR]],'Classificações - Demonstrações'!$A$5:$C$46003,2,)</f>
        <v>Contas a  Receber</v>
      </c>
      <c r="I481" s="87"/>
    </row>
    <row r="482" spans="1:9" ht="12.75" customHeight="1" x14ac:dyDescent="0.2">
      <c r="A482" s="94" t="s">
        <v>5300</v>
      </c>
      <c r="B482" s="87" t="s">
        <v>4757</v>
      </c>
      <c r="C482" s="87" t="s">
        <v>40</v>
      </c>
      <c r="D482" s="89">
        <v>181830</v>
      </c>
      <c r="E482" s="89"/>
      <c r="F482" s="89"/>
      <c r="G482" s="87" t="str">
        <f t="shared" si="7"/>
        <v>121110206'= FATURAS/DUPLIC A RECEBER - PRESTACAO SERVICOS33247271000103</v>
      </c>
      <c r="H482" s="87" t="str">
        <f>VLOOKUP(Tabela1[[#This Row],[CONCATENAR]],'Classificações - Demonstrações'!$A$5:$C$46003,2,)</f>
        <v>Contas a  Receber</v>
      </c>
      <c r="I482" s="87"/>
    </row>
    <row r="483" spans="1:9" ht="12.75" customHeight="1" x14ac:dyDescent="0.2">
      <c r="A483" s="94" t="s">
        <v>4758</v>
      </c>
      <c r="B483" s="87" t="s">
        <v>4759</v>
      </c>
      <c r="C483" s="87" t="s">
        <v>5299</v>
      </c>
      <c r="D483" s="89">
        <v>-22877385.510000002</v>
      </c>
      <c r="E483" s="89"/>
      <c r="F483" s="89"/>
      <c r="G483" s="87" t="str">
        <f t="shared" si="7"/>
        <v>121119902* = AJUSTE PERDA PARA CREDITO LIQUIDACAO DUVIDOSA121110203</v>
      </c>
      <c r="H483" s="87" t="str">
        <f>VLOOKUP(Tabela1[[#This Row],[CONCATENAR]],'Classificações - Demonstrações'!$A$5:$C$46003,2,)</f>
        <v>Contas a  Receber</v>
      </c>
      <c r="I483" s="87"/>
    </row>
    <row r="484" spans="1:9" ht="12.75" customHeight="1" x14ac:dyDescent="0.2">
      <c r="A484" s="94" t="s">
        <v>4758</v>
      </c>
      <c r="B484" s="87" t="s">
        <v>4759</v>
      </c>
      <c r="C484" s="87" t="s">
        <v>5300</v>
      </c>
      <c r="D484" s="89">
        <v>-2928061.23</v>
      </c>
      <c r="E484" s="89"/>
      <c r="F484" s="89"/>
      <c r="G484" s="87" t="str">
        <f t="shared" si="7"/>
        <v>121119902* = AJUSTE PERDA PARA CREDITO LIQUIDACAO DUVIDOSA121110206</v>
      </c>
      <c r="H484" s="87" t="str">
        <f>VLOOKUP(Tabela1[[#This Row],[CONCATENAR]],'Classificações - Demonstrações'!$A$5:$C$46003,2,)</f>
        <v>Contas a  Receber</v>
      </c>
      <c r="I484" s="87"/>
    </row>
    <row r="485" spans="1:9" ht="12.75" customHeight="1" x14ac:dyDescent="0.2">
      <c r="A485" s="94" t="s">
        <v>5301</v>
      </c>
      <c r="B485" s="87" t="s">
        <v>360</v>
      </c>
      <c r="C485" s="87" t="s">
        <v>41</v>
      </c>
      <c r="D485" s="88">
        <v>3446774.46</v>
      </c>
      <c r="E485" s="89"/>
      <c r="F485" s="89"/>
      <c r="G485" s="87" t="str">
        <f t="shared" si="7"/>
        <v>121210601'= DEPOSITO/CAUCAO EFETUADO POR CONTR/CONVENCAO42540211000167</v>
      </c>
      <c r="H485" s="87" t="str">
        <f>VLOOKUP(Tabela1[[#This Row],[CONCATENAR]],'Classificações - Demonstrações'!$A$5:$C$46003,2,)</f>
        <v>Caução</v>
      </c>
      <c r="I485" s="87"/>
    </row>
    <row r="486" spans="1:9" ht="12.75" customHeight="1" x14ac:dyDescent="0.2">
      <c r="A486" s="94" t="s">
        <v>5301</v>
      </c>
      <c r="B486" s="99" t="s">
        <v>360</v>
      </c>
      <c r="C486" s="87" t="s">
        <v>304</v>
      </c>
      <c r="D486" s="88">
        <v>249808.43</v>
      </c>
      <c r="E486" s="89"/>
      <c r="F486" s="89"/>
      <c r="G486" s="87" t="str">
        <f t="shared" si="7"/>
        <v>121210601'= DEPOSITO/CAUCAO EFETUADO POR CONTR/CONVENCAOCL0011111</v>
      </c>
      <c r="H486" s="87" t="str">
        <f>VLOOKUP(Tabela1[[#This Row],[CONCATENAR]],'Classificações - Demonstrações'!$A$5:$C$46003,2,)</f>
        <v>Caução</v>
      </c>
      <c r="I486" s="87"/>
    </row>
    <row r="487" spans="1:9" ht="12.75" customHeight="1" x14ac:dyDescent="0.2">
      <c r="A487" s="94" t="s">
        <v>5302</v>
      </c>
      <c r="B487" s="87" t="s">
        <v>361</v>
      </c>
      <c r="C487" s="87" t="s">
        <v>4535</v>
      </c>
      <c r="D487" s="88">
        <v>106556.1</v>
      </c>
      <c r="E487" s="89"/>
      <c r="F487" s="89"/>
      <c r="G487" s="87" t="str">
        <f t="shared" si="7"/>
        <v>121210603'= DEPOSITOS JUDICIAIS EFETUADOSPF9999923</v>
      </c>
      <c r="H487" s="87" t="str">
        <f>VLOOKUP(Tabela1[[#This Row],[CONCATENAR]],'Classificações - Demonstrações'!$A$5:$C$46003,2,)</f>
        <v>Depósitos Recursais</v>
      </c>
      <c r="I487" s="87"/>
    </row>
    <row r="488" spans="1:9" ht="12.75" customHeight="1" x14ac:dyDescent="0.2">
      <c r="A488" s="94" t="s">
        <v>5302</v>
      </c>
      <c r="B488" s="87" t="s">
        <v>361</v>
      </c>
      <c r="C488" s="87" t="s">
        <v>362</v>
      </c>
      <c r="D488" s="88">
        <v>3491427.86</v>
      </c>
      <c r="E488" s="89"/>
      <c r="F488" s="89"/>
      <c r="G488" s="87" t="str">
        <f t="shared" si="7"/>
        <v>121210603'= DEPOSITOS JUDICIAIS EFETUADOSPF9999930</v>
      </c>
      <c r="H488" s="87" t="str">
        <f>VLOOKUP(Tabela1[[#This Row],[CONCATENAR]],'Classificações - Demonstrações'!$A$5:$C$46003,2,)</f>
        <v>Depósitos Recursais</v>
      </c>
      <c r="I488" s="87"/>
    </row>
    <row r="489" spans="1:9" ht="12.75" customHeight="1" x14ac:dyDescent="0.2">
      <c r="A489" s="94" t="s">
        <v>5303</v>
      </c>
      <c r="B489" s="87" t="s">
        <v>363</v>
      </c>
      <c r="C489" s="87" t="s">
        <v>4535</v>
      </c>
      <c r="D489" s="89">
        <v>695026.44</v>
      </c>
      <c r="E489" s="89"/>
      <c r="F489" s="89"/>
      <c r="G489" s="87" t="str">
        <f t="shared" si="7"/>
        <v>121210605'= DEPOSITO EFETUADO P/INTERPOSICAO DE RECURSOSPF9999923</v>
      </c>
      <c r="H489" s="87" t="str">
        <f>VLOOKUP(Tabela1[[#This Row],[CONCATENAR]],'Classificações - Demonstrações'!$A$5:$C$46003,2,)</f>
        <v>Depósitos Recursais</v>
      </c>
      <c r="I489" s="87"/>
    </row>
    <row r="490" spans="1:9" ht="12.75" customHeight="1" x14ac:dyDescent="0.2">
      <c r="A490" s="94" t="s">
        <v>5304</v>
      </c>
      <c r="B490" s="87" t="s">
        <v>318</v>
      </c>
      <c r="C490" s="87" t="s">
        <v>319</v>
      </c>
      <c r="D490" s="89">
        <v>291458394.17000002</v>
      </c>
      <c r="E490" s="89"/>
      <c r="F490" s="89"/>
      <c r="G490" s="87" t="str">
        <f t="shared" si="7"/>
        <v>121219802CRED A REC POR CESSAO DE CREDITOS PELA UNIAOSEM INFORMACAO</v>
      </c>
      <c r="H490" s="87" t="str">
        <f>VLOOKUP(Tabela1[[#This Row],[CONCATENAR]],'Classificações - Demonstrações'!$A$5:$C$46003,2,)</f>
        <v>Contas a  Receber</v>
      </c>
      <c r="I490" s="87"/>
    </row>
    <row r="491" spans="1:9" ht="12.75" customHeight="1" x14ac:dyDescent="0.2">
      <c r="A491" s="94" t="s">
        <v>5305</v>
      </c>
      <c r="B491" s="87" t="s">
        <v>364</v>
      </c>
      <c r="C491" s="87" t="s">
        <v>365</v>
      </c>
      <c r="D491" s="89">
        <v>29415347.800000001</v>
      </c>
      <c r="E491" s="89"/>
      <c r="F491" s="89"/>
      <c r="G491" s="87" t="str">
        <f t="shared" si="7"/>
        <v>121219806'= CRED A REC POR ACERTO FINAN C/SERV E EX-SERVFT1050103</v>
      </c>
      <c r="H491" s="87" t="str">
        <f>VLOOKUP(Tabela1[[#This Row],[CONCATENAR]],'Classificações - Demonstrações'!$A$5:$C$46003,2,)</f>
        <v>Contas a  Receber</v>
      </c>
      <c r="I491" s="87"/>
    </row>
    <row r="492" spans="1:9" ht="12.75" customHeight="1" x14ac:dyDescent="0.2">
      <c r="A492" s="94" t="s">
        <v>366</v>
      </c>
      <c r="B492" s="87" t="s">
        <v>367</v>
      </c>
      <c r="C492" s="87" t="s">
        <v>319</v>
      </c>
      <c r="D492" s="89">
        <v>9922908.5899999999</v>
      </c>
      <c r="E492" s="89"/>
      <c r="F492" s="89"/>
      <c r="G492" s="87" t="str">
        <f t="shared" si="7"/>
        <v>123110101APARELHOS DE MEDICAO E ORIENTACAOSEM INFORMACAO</v>
      </c>
      <c r="H492" s="87" t="str">
        <f>VLOOKUP(Tabela1[[#This Row],[CONCATENAR]],'Classificações - Demonstrações'!$A$5:$C$46003,2,)</f>
        <v>Imobilizado</v>
      </c>
      <c r="I492" s="87"/>
    </row>
    <row r="493" spans="1:9" ht="12.75" customHeight="1" x14ac:dyDescent="0.2">
      <c r="A493" s="94" t="s">
        <v>368</v>
      </c>
      <c r="B493" s="87" t="s">
        <v>369</v>
      </c>
      <c r="C493" s="87" t="s">
        <v>319</v>
      </c>
      <c r="D493" s="89">
        <v>155177.29999999999</v>
      </c>
      <c r="E493" s="89"/>
      <c r="F493" s="89"/>
      <c r="G493" s="87" t="str">
        <f t="shared" si="7"/>
        <v>123110102APARELHOS E EQUIPAMENTOS DE COMUNICACAOSEM INFORMACAO</v>
      </c>
      <c r="H493" s="87" t="str">
        <f>VLOOKUP(Tabela1[[#This Row],[CONCATENAR]],'Classificações - Demonstrações'!$A$5:$C$46003,2,)</f>
        <v>Imobilizado</v>
      </c>
      <c r="I493" s="87"/>
    </row>
    <row r="494" spans="1:9" ht="12.75" customHeight="1" x14ac:dyDescent="0.2">
      <c r="A494" s="94" t="s">
        <v>370</v>
      </c>
      <c r="B494" s="87" t="s">
        <v>371</v>
      </c>
      <c r="C494" s="87" t="s">
        <v>319</v>
      </c>
      <c r="D494" s="89">
        <v>216213.78</v>
      </c>
      <c r="E494" s="88"/>
      <c r="F494" s="88"/>
      <c r="G494" s="87" t="str">
        <f t="shared" si="7"/>
        <v>123110103EQUIPAM/UTENSILIOS MEDICOS,ODONTO,LAB E HOSPSEM INFORMACAO</v>
      </c>
      <c r="H494" s="87" t="str">
        <f>VLOOKUP(Tabela1[[#This Row],[CONCATENAR]],'Classificações - Demonstrações'!$A$5:$C$46003,2,)</f>
        <v>Imobilizado</v>
      </c>
      <c r="I494" s="87"/>
    </row>
    <row r="495" spans="1:9" ht="12.75" customHeight="1" x14ac:dyDescent="0.2">
      <c r="A495" s="94" t="s">
        <v>372</v>
      </c>
      <c r="B495" s="87" t="s">
        <v>373</v>
      </c>
      <c r="C495" s="87" t="s">
        <v>319</v>
      </c>
      <c r="D495" s="89">
        <v>1118030.18</v>
      </c>
      <c r="E495" s="88"/>
      <c r="F495" s="88"/>
      <c r="G495" s="87" t="str">
        <f t="shared" si="7"/>
        <v>123110105EQUIPAMENTO DE PROTECAO, SEGURANCA E SOCORROSEM INFORMACAO</v>
      </c>
      <c r="H495" s="87" t="str">
        <f>VLOOKUP(Tabela1[[#This Row],[CONCATENAR]],'Classificações - Demonstrações'!$A$5:$C$46003,2,)</f>
        <v>Imobilizado</v>
      </c>
      <c r="I495" s="87"/>
    </row>
    <row r="496" spans="1:9" ht="12.75" customHeight="1" x14ac:dyDescent="0.2">
      <c r="A496" s="94" t="s">
        <v>374</v>
      </c>
      <c r="B496" s="87" t="s">
        <v>375</v>
      </c>
      <c r="C496" s="87" t="s">
        <v>319</v>
      </c>
      <c r="D496" s="89">
        <v>152441436.31</v>
      </c>
      <c r="E496" s="88"/>
      <c r="F496" s="88"/>
      <c r="G496" s="87" t="str">
        <f t="shared" si="7"/>
        <v>123110106MAQUINAS E EQUIPAMENTOS INDUSTRIAISSEM INFORMACAO</v>
      </c>
      <c r="H496" s="87" t="str">
        <f>VLOOKUP(Tabela1[[#This Row],[CONCATENAR]],'Classificações - Demonstrações'!$A$5:$C$46003,2,)</f>
        <v>Imobilizado</v>
      </c>
      <c r="I496" s="87"/>
    </row>
    <row r="497" spans="1:9" ht="12.75" customHeight="1" x14ac:dyDescent="0.2">
      <c r="A497" s="94" t="s">
        <v>376</v>
      </c>
      <c r="B497" s="87" t="s">
        <v>377</v>
      </c>
      <c r="C497" s="87" t="s">
        <v>319</v>
      </c>
      <c r="D497" s="88">
        <v>3948892.76</v>
      </c>
      <c r="E497" s="89"/>
      <c r="F497" s="89"/>
      <c r="G497" s="87" t="str">
        <f t="shared" si="7"/>
        <v>123110107MAQUINAS E EQUIPAMENTOS ENERGETICOSSEM INFORMACAO</v>
      </c>
      <c r="H497" s="87" t="str">
        <f>VLOOKUP(Tabela1[[#This Row],[CONCATENAR]],'Classificações - Demonstrações'!$A$5:$C$46003,2,)</f>
        <v>Imobilizado</v>
      </c>
      <c r="I497" s="87"/>
    </row>
    <row r="498" spans="1:9" ht="12.75" customHeight="1" x14ac:dyDescent="0.2">
      <c r="A498" s="94" t="s">
        <v>378</v>
      </c>
      <c r="B498" s="87" t="s">
        <v>379</v>
      </c>
      <c r="C498" s="87" t="s">
        <v>319</v>
      </c>
      <c r="D498" s="88">
        <v>197897.13</v>
      </c>
      <c r="E498" s="89"/>
      <c r="F498" s="89"/>
      <c r="G498" s="87" t="str">
        <f t="shared" si="7"/>
        <v>123110125MAQUINAS, UTENSILIOS E EQUIPAMENTOS  DIVERSOSSEM INFORMACAO</v>
      </c>
      <c r="H498" s="87" t="str">
        <f>VLOOKUP(Tabela1[[#This Row],[CONCATENAR]],'Classificações - Demonstrações'!$A$5:$C$46003,2,)</f>
        <v>Imobilizado</v>
      </c>
      <c r="I498" s="87"/>
    </row>
    <row r="499" spans="1:9" ht="12.75" customHeight="1" x14ac:dyDescent="0.2">
      <c r="A499" s="94" t="s">
        <v>380</v>
      </c>
      <c r="B499" s="87" t="s">
        <v>381</v>
      </c>
      <c r="C499" s="87" t="s">
        <v>319</v>
      </c>
      <c r="D499" s="88">
        <v>11975804.560000001</v>
      </c>
      <c r="E499" s="89"/>
      <c r="F499" s="89"/>
      <c r="G499" s="87" t="str">
        <f t="shared" si="7"/>
        <v>123110201EQUIP DE TECNOLOG DA INFOR E COMUNICACAO/TICSEM INFORMACAO</v>
      </c>
      <c r="H499" s="87" t="str">
        <f>VLOOKUP(Tabela1[[#This Row],[CONCATENAR]],'Classificações - Demonstrações'!$A$5:$C$46003,2,)</f>
        <v>Imobilizado</v>
      </c>
      <c r="I499" s="87"/>
    </row>
    <row r="500" spans="1:9" ht="12.75" customHeight="1" x14ac:dyDescent="0.2">
      <c r="A500" s="94" t="s">
        <v>382</v>
      </c>
      <c r="B500" s="87" t="s">
        <v>383</v>
      </c>
      <c r="C500" s="87" t="s">
        <v>319</v>
      </c>
      <c r="D500" s="88">
        <v>2964042.63</v>
      </c>
      <c r="E500" s="89"/>
      <c r="F500" s="89"/>
      <c r="G500" s="87" t="str">
        <f t="shared" si="7"/>
        <v>123110301APARELHOS E UTENSILIOS DOMESTICOSSEM INFORMACAO</v>
      </c>
      <c r="H500" s="87" t="str">
        <f>VLOOKUP(Tabela1[[#This Row],[CONCATENAR]],'Classificações - Demonstrações'!$A$5:$C$46003,2,)</f>
        <v>Imobilizado</v>
      </c>
      <c r="I500" s="87"/>
    </row>
    <row r="501" spans="1:9" ht="12.75" customHeight="1" x14ac:dyDescent="0.2">
      <c r="A501" s="94" t="s">
        <v>384</v>
      </c>
      <c r="B501" s="87" t="s">
        <v>385</v>
      </c>
      <c r="C501" s="87" t="s">
        <v>319</v>
      </c>
      <c r="D501" s="89">
        <v>177576.46</v>
      </c>
      <c r="E501" s="89"/>
      <c r="F501" s="89"/>
      <c r="G501" s="87" t="str">
        <f t="shared" si="7"/>
        <v>123110302MAQUINAS E UTENSILIOS DE ESCRITORIOSEM INFORMACAO</v>
      </c>
      <c r="H501" s="87" t="str">
        <f>VLOOKUP(Tabela1[[#This Row],[CONCATENAR]],'Classificações - Demonstrações'!$A$5:$C$46003,2,)</f>
        <v>Imobilizado</v>
      </c>
      <c r="I501" s="87"/>
    </row>
    <row r="502" spans="1:9" ht="12.75" customHeight="1" x14ac:dyDescent="0.2">
      <c r="A502" s="94" t="s">
        <v>386</v>
      </c>
      <c r="B502" s="87" t="s">
        <v>387</v>
      </c>
      <c r="C502" s="87" t="s">
        <v>319</v>
      </c>
      <c r="D502" s="89">
        <v>6127047.4000000004</v>
      </c>
      <c r="E502" s="89"/>
      <c r="F502" s="89"/>
      <c r="G502" s="87" t="str">
        <f t="shared" si="7"/>
        <v>123110303MOBILIARIO EM GERALSEM INFORMACAO</v>
      </c>
      <c r="H502" s="87" t="str">
        <f>VLOOKUP(Tabela1[[#This Row],[CONCATENAR]],'Classificações - Demonstrações'!$A$5:$C$46003,2,)</f>
        <v>Imobilizado</v>
      </c>
      <c r="I502" s="87"/>
    </row>
    <row r="503" spans="1:9" ht="12.75" customHeight="1" x14ac:dyDescent="0.2">
      <c r="A503" s="94" t="s">
        <v>388</v>
      </c>
      <c r="B503" s="87" t="s">
        <v>389</v>
      </c>
      <c r="C503" s="87" t="s">
        <v>319</v>
      </c>
      <c r="D503" s="89">
        <v>475129.05</v>
      </c>
      <c r="E503" s="89"/>
      <c r="F503" s="89"/>
      <c r="G503" s="87" t="str">
        <f t="shared" si="7"/>
        <v>123110405EQUIPAMENTOS PARA AUDIO, VIDEO E FOTOSEM INFORMACAO</v>
      </c>
      <c r="H503" s="87" t="str">
        <f>VLOOKUP(Tabela1[[#This Row],[CONCATENAR]],'Classificações - Demonstrações'!$A$5:$C$46003,2,)</f>
        <v>Imobilizado</v>
      </c>
      <c r="I503" s="87"/>
    </row>
    <row r="504" spans="1:9" ht="12.75" customHeight="1" x14ac:dyDescent="0.2">
      <c r="A504" s="94" t="s">
        <v>390</v>
      </c>
      <c r="B504" s="87" t="s">
        <v>391</v>
      </c>
      <c r="C504" s="87" t="s">
        <v>319</v>
      </c>
      <c r="D504" s="89">
        <v>938103.14</v>
      </c>
      <c r="E504" s="89"/>
      <c r="F504" s="89"/>
      <c r="G504" s="87" t="str">
        <f t="shared" si="7"/>
        <v>123110503VEICULOS DE TRACAO MECANICASEM INFORMACAO</v>
      </c>
      <c r="H504" s="87" t="str">
        <f>VLOOKUP(Tabela1[[#This Row],[CONCATENAR]],'Classificações - Demonstrações'!$A$5:$C$46003,2,)</f>
        <v>Imobilizado</v>
      </c>
      <c r="I504" s="87"/>
    </row>
    <row r="505" spans="1:9" ht="12.75" customHeight="1" x14ac:dyDescent="0.2">
      <c r="A505" s="94" t="s">
        <v>5306</v>
      </c>
      <c r="B505" s="87" t="s">
        <v>392</v>
      </c>
      <c r="C505" s="87" t="s">
        <v>5307</v>
      </c>
      <c r="D505" s="89">
        <v>3960000</v>
      </c>
      <c r="E505" s="89"/>
      <c r="F505" s="89"/>
      <c r="G505" s="87" t="str">
        <f t="shared" si="7"/>
        <v>123110701'= BENS MOVEIS EM ELABORACAO00138806000140</v>
      </c>
      <c r="H505" s="87" t="str">
        <f>VLOOKUP(Tabela1[[#This Row],[CONCATENAR]],'Classificações - Demonstrações'!$A$5:$C$46003,2,)</f>
        <v>Imobilizado</v>
      </c>
      <c r="I505" s="87"/>
    </row>
    <row r="506" spans="1:9" ht="12.75" customHeight="1" x14ac:dyDescent="0.2">
      <c r="A506" s="94" t="s">
        <v>5306</v>
      </c>
      <c r="B506" s="87" t="s">
        <v>392</v>
      </c>
      <c r="C506" s="87" t="s">
        <v>5556</v>
      </c>
      <c r="D506" s="89">
        <v>1336937.6399999999</v>
      </c>
      <c r="E506" s="89"/>
      <c r="F506" s="89"/>
      <c r="G506" s="87" t="str">
        <f t="shared" si="7"/>
        <v>123110701'= BENS MOVEIS EM ELABORACAO05603740000136</v>
      </c>
      <c r="H506" s="87" t="str">
        <f>VLOOKUP(Tabela1[[#This Row],[CONCATENAR]],'Classificações - Demonstrações'!$A$5:$C$46003,2,)</f>
        <v>Imobilizado</v>
      </c>
      <c r="I506" s="87"/>
    </row>
    <row r="507" spans="1:9" ht="12.75" customHeight="1" x14ac:dyDescent="0.2">
      <c r="A507" s="94" t="s">
        <v>5306</v>
      </c>
      <c r="B507" s="87" t="s">
        <v>392</v>
      </c>
      <c r="C507" s="87" t="s">
        <v>4536</v>
      </c>
      <c r="D507" s="89">
        <v>1022000</v>
      </c>
      <c r="E507" s="89"/>
      <c r="F507" s="89"/>
      <c r="G507" s="87" t="str">
        <f t="shared" si="7"/>
        <v>123110701'= BENS MOVEIS EM ELABORACAO08012469000152</v>
      </c>
      <c r="H507" s="87" t="str">
        <f>VLOOKUP(Tabela1[[#This Row],[CONCATENAR]],'Classificações - Demonstrações'!$A$5:$C$46003,2,)</f>
        <v>Imobilizado</v>
      </c>
      <c r="I507" s="87"/>
    </row>
    <row r="508" spans="1:9" ht="12.75" customHeight="1" x14ac:dyDescent="0.2">
      <c r="A508" s="94" t="s">
        <v>5306</v>
      </c>
      <c r="B508" s="87" t="s">
        <v>392</v>
      </c>
      <c r="C508" s="87" t="s">
        <v>5141</v>
      </c>
      <c r="D508" s="88">
        <v>460000</v>
      </c>
      <c r="E508" s="89"/>
      <c r="F508" s="89"/>
      <c r="G508" s="87" t="str">
        <f t="shared" si="7"/>
        <v>123110701'= BENS MOVEIS EM ELABORACAO23001873000114</v>
      </c>
      <c r="H508" s="87" t="str">
        <f>VLOOKUP(Tabela1[[#This Row],[CONCATENAR]],'Classificações - Demonstrações'!$A$5:$C$46003,2,)</f>
        <v>Imobilizado</v>
      </c>
      <c r="I508" s="87"/>
    </row>
    <row r="509" spans="1:9" ht="12.75" customHeight="1" x14ac:dyDescent="0.2">
      <c r="A509" s="94" t="s">
        <v>5306</v>
      </c>
      <c r="B509" s="87" t="s">
        <v>392</v>
      </c>
      <c r="C509" s="87" t="s">
        <v>5558</v>
      </c>
      <c r="D509" s="88">
        <v>1138200</v>
      </c>
      <c r="E509" s="89"/>
      <c r="F509" s="89"/>
      <c r="G509" s="87" t="str">
        <f t="shared" si="7"/>
        <v>123110701'= BENS MOVEIS EM ELABORACAO32683520000132</v>
      </c>
      <c r="H509" s="87" t="str">
        <f>VLOOKUP(Tabela1[[#This Row],[CONCATENAR]],'Classificações - Demonstrações'!$A$5:$C$46003,2,)</f>
        <v>Imobilizado</v>
      </c>
      <c r="I509" s="87"/>
    </row>
    <row r="510" spans="1:9" ht="12.75" customHeight="1" x14ac:dyDescent="0.2">
      <c r="A510" s="94" t="s">
        <v>5308</v>
      </c>
      <c r="B510" s="87" t="s">
        <v>393</v>
      </c>
      <c r="C510" s="87" t="s">
        <v>341</v>
      </c>
      <c r="D510" s="89">
        <v>12960</v>
      </c>
      <c r="E510" s="89"/>
      <c r="F510" s="89"/>
      <c r="G510" s="87" t="str">
        <f t="shared" si="7"/>
        <v>123110801'= ESTOQUE INTERNO12</v>
      </c>
      <c r="H510" s="87" t="str">
        <f>VLOOKUP(Tabela1[[#This Row],[CONCATENAR]],'Classificações - Demonstrações'!$A$5:$C$46003,2,)</f>
        <v>Imobilizado</v>
      </c>
      <c r="I510" s="87"/>
    </row>
    <row r="511" spans="1:9" ht="12.75" customHeight="1" x14ac:dyDescent="0.2">
      <c r="A511" s="94" t="s">
        <v>5308</v>
      </c>
      <c r="B511" s="87" t="s">
        <v>393</v>
      </c>
      <c r="C511" s="87" t="s">
        <v>351</v>
      </c>
      <c r="D511" s="89">
        <v>37800</v>
      </c>
      <c r="E511" s="89"/>
      <c r="F511" s="89"/>
      <c r="G511" s="87" t="str">
        <f t="shared" si="7"/>
        <v>123110801'= ESTOQUE INTERNO28</v>
      </c>
      <c r="H511" s="87" t="str">
        <f>VLOOKUP(Tabela1[[#This Row],[CONCATENAR]],'Classificações - Demonstrações'!$A$5:$C$46003,2,)</f>
        <v>Imobilizado</v>
      </c>
      <c r="I511" s="87"/>
    </row>
    <row r="512" spans="1:9" ht="12.75" customHeight="1" x14ac:dyDescent="0.2">
      <c r="A512" s="94" t="s">
        <v>5308</v>
      </c>
      <c r="B512" s="87" t="s">
        <v>393</v>
      </c>
      <c r="C512" s="87" t="s">
        <v>353</v>
      </c>
      <c r="D512" s="89">
        <v>250000</v>
      </c>
      <c r="E512" s="89"/>
      <c r="F512" s="89"/>
      <c r="G512" s="87" t="str">
        <f t="shared" si="7"/>
        <v>123110801'= ESTOQUE INTERNO35</v>
      </c>
      <c r="H512" s="87" t="str">
        <f>VLOOKUP(Tabela1[[#This Row],[CONCATENAR]],'Classificações - Demonstrações'!$A$5:$C$46003,2,)</f>
        <v>Imobilizado</v>
      </c>
      <c r="I512" s="87"/>
    </row>
    <row r="513" spans="1:9" ht="12.75" customHeight="1" x14ac:dyDescent="0.2">
      <c r="A513" s="94" t="s">
        <v>5308</v>
      </c>
      <c r="B513" s="87" t="s">
        <v>393</v>
      </c>
      <c r="C513" s="87" t="s">
        <v>358</v>
      </c>
      <c r="D513" s="89">
        <v>1022000</v>
      </c>
      <c r="E513" s="89"/>
      <c r="F513" s="89"/>
      <c r="G513" s="87" t="str">
        <f t="shared" si="7"/>
        <v>123110801'= ESTOQUE INTERNO99</v>
      </c>
      <c r="H513" s="87" t="str">
        <f>VLOOKUP(Tabela1[[#This Row],[CONCATENAR]],'Classificações - Demonstrações'!$A$5:$C$46003,2,)</f>
        <v>Imobilizado</v>
      </c>
      <c r="I513" s="87"/>
    </row>
    <row r="514" spans="1:9" ht="12.75" customHeight="1" x14ac:dyDescent="0.2">
      <c r="A514" s="94" t="s">
        <v>394</v>
      </c>
      <c r="B514" s="87" t="s">
        <v>395</v>
      </c>
      <c r="C514" s="87" t="s">
        <v>397</v>
      </c>
      <c r="D514" s="89">
        <v>50215247.640000001</v>
      </c>
      <c r="E514" s="89"/>
      <c r="F514" s="89"/>
      <c r="G514" s="87" t="str">
        <f t="shared" si="7"/>
        <v>123210202'= EDIFICIOSIM2011001</v>
      </c>
      <c r="H514" s="87" t="str">
        <f>VLOOKUP(Tabela1[[#This Row],[CONCATENAR]],'Classificações - Demonstrações'!$A$5:$C$46003,2,)</f>
        <v>Imobilizado</v>
      </c>
      <c r="I514" s="87"/>
    </row>
    <row r="515" spans="1:9" ht="12.75" customHeight="1" x14ac:dyDescent="0.2">
      <c r="A515" s="94" t="s">
        <v>394</v>
      </c>
      <c r="B515" s="87" t="s">
        <v>395</v>
      </c>
      <c r="C515" s="87" t="s">
        <v>398</v>
      </c>
      <c r="D515" s="89">
        <v>4739033.1100000003</v>
      </c>
      <c r="E515" s="89"/>
      <c r="F515" s="89"/>
      <c r="G515" s="87" t="str">
        <f t="shared" si="7"/>
        <v>123210202'= EDIFICIOSIM2011003</v>
      </c>
      <c r="H515" s="87" t="str">
        <f>VLOOKUP(Tabela1[[#This Row],[CONCATENAR]],'Classificações - Demonstrações'!$A$5:$C$46003,2,)</f>
        <v>Imobilizado</v>
      </c>
      <c r="I515" s="87"/>
    </row>
    <row r="516" spans="1:9" ht="12.75" customHeight="1" x14ac:dyDescent="0.2">
      <c r="A516" s="94" t="s">
        <v>394</v>
      </c>
      <c r="B516" s="87" t="s">
        <v>395</v>
      </c>
      <c r="C516" s="87" t="s">
        <v>399</v>
      </c>
      <c r="D516" s="89">
        <v>1609537.5</v>
      </c>
      <c r="E516" s="89"/>
      <c r="F516" s="89"/>
      <c r="G516" s="87" t="str">
        <f t="shared" si="7"/>
        <v>123210202'= EDIFICIOSIM2011005</v>
      </c>
      <c r="H516" s="87" t="str">
        <f>VLOOKUP(Tabela1[[#This Row],[CONCATENAR]],'Classificações - Demonstrações'!$A$5:$C$46003,2,)</f>
        <v>Imobilizado</v>
      </c>
      <c r="I516" s="87"/>
    </row>
    <row r="517" spans="1:9" ht="12.75" customHeight="1" x14ac:dyDescent="0.2">
      <c r="A517" s="94" t="s">
        <v>394</v>
      </c>
      <c r="B517" s="87" t="s">
        <v>395</v>
      </c>
      <c r="C517" s="87" t="s">
        <v>400</v>
      </c>
      <c r="D517" s="89">
        <v>3142633.5</v>
      </c>
      <c r="E517" s="88"/>
      <c r="F517" s="88"/>
      <c r="G517" s="87" t="str">
        <f t="shared" ref="G517:G580" si="8">CONCATENATE(A517,B517,C517)</f>
        <v>123210202'= EDIFICIOSPJ7020220</v>
      </c>
      <c r="H517" s="87" t="str">
        <f>VLOOKUP(Tabela1[[#This Row],[CONCATENAR]],'Classificações - Demonstrações'!$A$5:$C$46003,2,)</f>
        <v>Imobilizado</v>
      </c>
      <c r="I517" s="87"/>
    </row>
    <row r="518" spans="1:9" ht="12.75" customHeight="1" x14ac:dyDescent="0.2">
      <c r="A518" s="94" t="s">
        <v>401</v>
      </c>
      <c r="B518" s="87" t="s">
        <v>402</v>
      </c>
      <c r="C518" s="87" t="s">
        <v>396</v>
      </c>
      <c r="D518" s="89">
        <v>161424117.78</v>
      </c>
      <c r="E518" s="89"/>
      <c r="F518" s="89"/>
      <c r="G518" s="87" t="str">
        <f t="shared" si="8"/>
        <v>123210203'= TERRENOS/GLEBAS999</v>
      </c>
      <c r="H518" s="87" t="str">
        <f>VLOOKUP(Tabela1[[#This Row],[CONCATENAR]],'Classificações - Demonstrações'!$A$5:$C$46003,2,)</f>
        <v>Imobilizado</v>
      </c>
      <c r="I518" s="87"/>
    </row>
    <row r="519" spans="1:9" ht="12.75" customHeight="1" x14ac:dyDescent="0.2">
      <c r="A519" s="94" t="s">
        <v>5309</v>
      </c>
      <c r="B519" s="87" t="s">
        <v>403</v>
      </c>
      <c r="C519" s="87" t="s">
        <v>404</v>
      </c>
      <c r="D519" s="89">
        <v>590392.91</v>
      </c>
      <c r="E519" s="88"/>
      <c r="F519" s="88"/>
      <c r="G519" s="87" t="str">
        <f t="shared" si="8"/>
        <v>123210601'= OBRAS EM ANDAMENTOIM22CS042</v>
      </c>
      <c r="H519" s="87" t="str">
        <f>VLOOKUP(Tabela1[[#This Row],[CONCATENAR]],'Classificações - Demonstrações'!$A$5:$C$46003,2,)</f>
        <v>Imobilizado</v>
      </c>
      <c r="I519" s="87"/>
    </row>
    <row r="520" spans="1:9" ht="12.75" customHeight="1" x14ac:dyDescent="0.2">
      <c r="A520" s="94" t="s">
        <v>5309</v>
      </c>
      <c r="B520" s="87" t="s">
        <v>403</v>
      </c>
      <c r="C520" s="87" t="s">
        <v>6012</v>
      </c>
      <c r="D520" s="88">
        <v>11384</v>
      </c>
      <c r="E520" s="89"/>
      <c r="F520" s="89"/>
      <c r="G520" s="87" t="str">
        <f t="shared" si="8"/>
        <v>123210601'= OBRAS EM ANDAMENTOIMOC08623</v>
      </c>
      <c r="H520" s="87" t="str">
        <f>VLOOKUP(Tabela1[[#This Row],[CONCATENAR]],'Classificações - Demonstrações'!$A$5:$C$46003,2,)</f>
        <v>Imobilizado</v>
      </c>
      <c r="I520" s="87"/>
    </row>
    <row r="521" spans="1:9" ht="12.75" customHeight="1" x14ac:dyDescent="0.2">
      <c r="A521" s="94" t="s">
        <v>405</v>
      </c>
      <c r="B521" s="87" t="s">
        <v>406</v>
      </c>
      <c r="C521" s="87" t="s">
        <v>407</v>
      </c>
      <c r="D521" s="89">
        <v>28735399.530000001</v>
      </c>
      <c r="E521" s="89"/>
      <c r="F521" s="89"/>
      <c r="G521" s="87" t="str">
        <f t="shared" si="8"/>
        <v>123210700'= INSTALACOESIM2010403</v>
      </c>
      <c r="H521" s="87" t="str">
        <f>VLOOKUP(Tabela1[[#This Row],[CONCATENAR]],'Classificações - Demonstrações'!$A$5:$C$46003,2,)</f>
        <v>Imobilizado</v>
      </c>
      <c r="I521" s="87"/>
    </row>
    <row r="522" spans="1:9" ht="12.75" customHeight="1" x14ac:dyDescent="0.2">
      <c r="A522" s="94" t="s">
        <v>405</v>
      </c>
      <c r="B522" s="87" t="s">
        <v>406</v>
      </c>
      <c r="C522" s="87" t="s">
        <v>408</v>
      </c>
      <c r="D522" s="89">
        <v>229304.6</v>
      </c>
      <c r="E522" s="89"/>
      <c r="F522" s="89"/>
      <c r="G522" s="87" t="str">
        <f t="shared" si="8"/>
        <v>123210700'= INSTALACOESIM2013403</v>
      </c>
      <c r="H522" s="87" t="str">
        <f>VLOOKUP(Tabela1[[#This Row],[CONCATENAR]],'Classificações - Demonstrações'!$A$5:$C$46003,2,)</f>
        <v>Imobilizado</v>
      </c>
      <c r="I522" s="87"/>
    </row>
    <row r="523" spans="1:9" ht="12.75" customHeight="1" x14ac:dyDescent="0.2">
      <c r="A523" s="94" t="s">
        <v>5310</v>
      </c>
      <c r="B523" s="87" t="s">
        <v>409</v>
      </c>
      <c r="C523" s="87" t="s">
        <v>366</v>
      </c>
      <c r="D523" s="88">
        <v>-4382221.6900000004</v>
      </c>
      <c r="E523" s="89"/>
      <c r="F523" s="89"/>
      <c r="G523" s="87" t="str">
        <f t="shared" si="8"/>
        <v>123810100* = DEPRECIACAO ACUMULADA - BENS MOVEIS123110101</v>
      </c>
      <c r="H523" s="87" t="str">
        <f>VLOOKUP(Tabela1[[#This Row],[CONCATENAR]],'Classificações - Demonstrações'!$A$5:$C$46003,2,)</f>
        <v>Imobilizado</v>
      </c>
      <c r="I523" s="87"/>
    </row>
    <row r="524" spans="1:9" ht="12.75" customHeight="1" x14ac:dyDescent="0.2">
      <c r="A524" s="94" t="s">
        <v>5310</v>
      </c>
      <c r="B524" s="87" t="s">
        <v>409</v>
      </c>
      <c r="C524" s="87" t="s">
        <v>368</v>
      </c>
      <c r="D524" s="88">
        <v>-38193.410000000003</v>
      </c>
      <c r="E524" s="89"/>
      <c r="F524" s="89"/>
      <c r="G524" s="87" t="str">
        <f t="shared" si="8"/>
        <v>123810100* = DEPRECIACAO ACUMULADA - BENS MOVEIS123110102</v>
      </c>
      <c r="H524" s="87" t="str">
        <f>VLOOKUP(Tabela1[[#This Row],[CONCATENAR]],'Classificações - Demonstrações'!$A$5:$C$46003,2,)</f>
        <v>Imobilizado</v>
      </c>
      <c r="I524" s="87"/>
    </row>
    <row r="525" spans="1:9" ht="12.75" customHeight="1" x14ac:dyDescent="0.2">
      <c r="A525" s="94" t="s">
        <v>5310</v>
      </c>
      <c r="B525" s="87" t="s">
        <v>409</v>
      </c>
      <c r="C525" s="87" t="s">
        <v>370</v>
      </c>
      <c r="D525" s="89">
        <v>-56414.7</v>
      </c>
      <c r="E525" s="89"/>
      <c r="F525" s="89"/>
      <c r="G525" s="87" t="str">
        <f t="shared" si="8"/>
        <v>123810100* = DEPRECIACAO ACUMULADA - BENS MOVEIS123110103</v>
      </c>
      <c r="H525" s="87" t="str">
        <f>VLOOKUP(Tabela1[[#This Row],[CONCATENAR]],'Classificações - Demonstrações'!$A$5:$C$46003,2,)</f>
        <v>Imobilizado</v>
      </c>
      <c r="I525" s="87"/>
    </row>
    <row r="526" spans="1:9" ht="12.75" customHeight="1" x14ac:dyDescent="0.2">
      <c r="A526" s="94" t="s">
        <v>5310</v>
      </c>
      <c r="B526" s="87" t="s">
        <v>409</v>
      </c>
      <c r="C526" s="87" t="s">
        <v>372</v>
      </c>
      <c r="D526" s="89">
        <v>-249889.99</v>
      </c>
      <c r="E526" s="89"/>
      <c r="F526" s="89"/>
      <c r="G526" s="87" t="str">
        <f t="shared" si="8"/>
        <v>123810100* = DEPRECIACAO ACUMULADA - BENS MOVEIS123110105</v>
      </c>
      <c r="H526" s="87" t="str">
        <f>VLOOKUP(Tabela1[[#This Row],[CONCATENAR]],'Classificações - Demonstrações'!$A$5:$C$46003,2,)</f>
        <v>Imobilizado</v>
      </c>
      <c r="I526" s="87"/>
    </row>
    <row r="527" spans="1:9" ht="12.75" customHeight="1" x14ac:dyDescent="0.2">
      <c r="A527" s="94" t="s">
        <v>5310</v>
      </c>
      <c r="B527" s="87" t="s">
        <v>409</v>
      </c>
      <c r="C527" s="87" t="s">
        <v>374</v>
      </c>
      <c r="D527" s="89">
        <v>-94230322.439999998</v>
      </c>
      <c r="E527" s="89"/>
      <c r="F527" s="89"/>
      <c r="G527" s="87" t="str">
        <f t="shared" si="8"/>
        <v>123810100* = DEPRECIACAO ACUMULADA - BENS MOVEIS123110106</v>
      </c>
      <c r="H527" s="87" t="str">
        <f>VLOOKUP(Tabela1[[#This Row],[CONCATENAR]],'Classificações - Demonstrações'!$A$5:$C$46003,2,)</f>
        <v>Imobilizado</v>
      </c>
      <c r="I527" s="87"/>
    </row>
    <row r="528" spans="1:9" ht="12.75" customHeight="1" x14ac:dyDescent="0.2">
      <c r="A528" s="94" t="s">
        <v>5310</v>
      </c>
      <c r="B528" s="87" t="s">
        <v>409</v>
      </c>
      <c r="C528" s="87" t="s">
        <v>376</v>
      </c>
      <c r="D528" s="88">
        <v>-1602557.63</v>
      </c>
      <c r="E528" s="89"/>
      <c r="F528" s="89"/>
      <c r="G528" s="87" t="str">
        <f t="shared" si="8"/>
        <v>123810100* = DEPRECIACAO ACUMULADA - BENS MOVEIS123110107</v>
      </c>
      <c r="H528" s="87" t="str">
        <f>VLOOKUP(Tabela1[[#This Row],[CONCATENAR]],'Classificações - Demonstrações'!$A$5:$C$46003,2,)</f>
        <v>Imobilizado</v>
      </c>
      <c r="I528" s="87"/>
    </row>
    <row r="529" spans="1:9" ht="12.75" customHeight="1" x14ac:dyDescent="0.2">
      <c r="A529" s="94" t="s">
        <v>5310</v>
      </c>
      <c r="B529" s="87" t="s">
        <v>409</v>
      </c>
      <c r="C529" s="87" t="s">
        <v>378</v>
      </c>
      <c r="D529" s="88">
        <v>-64254.42</v>
      </c>
      <c r="E529" s="89"/>
      <c r="F529" s="89"/>
      <c r="G529" s="87" t="str">
        <f t="shared" si="8"/>
        <v>123810100* = DEPRECIACAO ACUMULADA - BENS MOVEIS123110125</v>
      </c>
      <c r="H529" s="87" t="str">
        <f>VLOOKUP(Tabela1[[#This Row],[CONCATENAR]],'Classificações - Demonstrações'!$A$5:$C$46003,2,)</f>
        <v>Imobilizado</v>
      </c>
      <c r="I529" s="87"/>
    </row>
    <row r="530" spans="1:9" ht="12.75" customHeight="1" x14ac:dyDescent="0.2">
      <c r="A530" s="94" t="s">
        <v>5310</v>
      </c>
      <c r="B530" s="87" t="s">
        <v>409</v>
      </c>
      <c r="C530" s="87" t="s">
        <v>380</v>
      </c>
      <c r="D530" s="89">
        <v>-7500439.0099999998</v>
      </c>
      <c r="E530" s="89"/>
      <c r="F530" s="89"/>
      <c r="G530" s="87" t="str">
        <f t="shared" si="8"/>
        <v>123810100* = DEPRECIACAO ACUMULADA - BENS MOVEIS123110201</v>
      </c>
      <c r="H530" s="87" t="str">
        <f>VLOOKUP(Tabela1[[#This Row],[CONCATENAR]],'Classificações - Demonstrações'!$A$5:$C$46003,2,)</f>
        <v>Imobilizado</v>
      </c>
      <c r="I530" s="87"/>
    </row>
    <row r="531" spans="1:9" ht="12.75" customHeight="1" x14ac:dyDescent="0.2">
      <c r="A531" s="94" t="s">
        <v>5310</v>
      </c>
      <c r="B531" s="87" t="s">
        <v>409</v>
      </c>
      <c r="C531" s="87" t="s">
        <v>382</v>
      </c>
      <c r="D531" s="89">
        <v>-1291806.03</v>
      </c>
      <c r="E531" s="89"/>
      <c r="F531" s="89"/>
      <c r="G531" s="87" t="str">
        <f t="shared" si="8"/>
        <v>123810100* = DEPRECIACAO ACUMULADA - BENS MOVEIS123110301</v>
      </c>
      <c r="H531" s="87" t="str">
        <f>VLOOKUP(Tabela1[[#This Row],[CONCATENAR]],'Classificações - Demonstrações'!$A$5:$C$46003,2,)</f>
        <v>Imobilizado</v>
      </c>
      <c r="I531" s="87"/>
    </row>
    <row r="532" spans="1:9" ht="12.75" customHeight="1" x14ac:dyDescent="0.2">
      <c r="A532" s="94" t="s">
        <v>5310</v>
      </c>
      <c r="B532" s="87" t="s">
        <v>409</v>
      </c>
      <c r="C532" s="87" t="s">
        <v>384</v>
      </c>
      <c r="D532" s="89">
        <v>-74905.86</v>
      </c>
      <c r="E532" s="89"/>
      <c r="F532" s="89"/>
      <c r="G532" s="87" t="str">
        <f t="shared" si="8"/>
        <v>123810100* = DEPRECIACAO ACUMULADA - BENS MOVEIS123110302</v>
      </c>
      <c r="H532" s="87" t="str">
        <f>VLOOKUP(Tabela1[[#This Row],[CONCATENAR]],'Classificações - Demonstrações'!$A$5:$C$46003,2,)</f>
        <v>Imobilizado</v>
      </c>
      <c r="I532" s="87"/>
    </row>
    <row r="533" spans="1:9" ht="12.75" customHeight="1" x14ac:dyDescent="0.2">
      <c r="A533" s="94" t="s">
        <v>5310</v>
      </c>
      <c r="B533" s="87" t="s">
        <v>409</v>
      </c>
      <c r="C533" s="87" t="s">
        <v>386</v>
      </c>
      <c r="D533" s="89">
        <v>-4188280.48</v>
      </c>
      <c r="E533" s="89"/>
      <c r="F533" s="89"/>
      <c r="G533" s="87" t="str">
        <f t="shared" si="8"/>
        <v>123810100* = DEPRECIACAO ACUMULADA - BENS MOVEIS123110303</v>
      </c>
      <c r="H533" s="87" t="str">
        <f>VLOOKUP(Tabela1[[#This Row],[CONCATENAR]],'Classificações - Demonstrações'!$A$5:$C$46003,2,)</f>
        <v>Imobilizado</v>
      </c>
      <c r="I533" s="87"/>
    </row>
    <row r="534" spans="1:9" ht="12.75" customHeight="1" x14ac:dyDescent="0.2">
      <c r="A534" s="94" t="s">
        <v>5310</v>
      </c>
      <c r="B534" s="87" t="s">
        <v>409</v>
      </c>
      <c r="C534" s="87" t="s">
        <v>388</v>
      </c>
      <c r="D534" s="89">
        <v>-161744.49</v>
      </c>
      <c r="E534" s="89"/>
      <c r="F534" s="89"/>
      <c r="G534" s="87" t="str">
        <f t="shared" si="8"/>
        <v>123810100* = DEPRECIACAO ACUMULADA - BENS MOVEIS123110405</v>
      </c>
      <c r="H534" s="87" t="str">
        <f>VLOOKUP(Tabela1[[#This Row],[CONCATENAR]],'Classificações - Demonstrações'!$A$5:$C$46003,2,)</f>
        <v>Imobilizado</v>
      </c>
      <c r="I534" s="87"/>
    </row>
    <row r="535" spans="1:9" ht="12.75" customHeight="1" x14ac:dyDescent="0.2">
      <c r="A535" s="94" t="s">
        <v>5310</v>
      </c>
      <c r="B535" s="87" t="s">
        <v>409</v>
      </c>
      <c r="C535" s="87" t="s">
        <v>390</v>
      </c>
      <c r="D535" s="89">
        <v>-931931.74</v>
      </c>
      <c r="E535" s="89"/>
      <c r="F535" s="89"/>
      <c r="G535" s="87" t="str">
        <f t="shared" si="8"/>
        <v>123810100* = DEPRECIACAO ACUMULADA - BENS MOVEIS123110503</v>
      </c>
      <c r="H535" s="87" t="str">
        <f>VLOOKUP(Tabela1[[#This Row],[CONCATENAR]],'Classificações - Demonstrações'!$A$5:$C$46003,2,)</f>
        <v>Imobilizado</v>
      </c>
      <c r="I535" s="87"/>
    </row>
    <row r="536" spans="1:9" ht="12.75" customHeight="1" x14ac:dyDescent="0.2">
      <c r="A536" s="94" t="s">
        <v>5311</v>
      </c>
      <c r="B536" s="87" t="s">
        <v>410</v>
      </c>
      <c r="C536" s="87" t="s">
        <v>394</v>
      </c>
      <c r="D536" s="89">
        <v>-26096231.739999998</v>
      </c>
      <c r="E536" s="89"/>
      <c r="F536" s="89"/>
      <c r="G536" s="87" t="str">
        <f t="shared" si="8"/>
        <v>123810200* = DEPRECIACAO ACUMULADA - BENS IMOVEIS123210202</v>
      </c>
      <c r="H536" s="87" t="str">
        <f>VLOOKUP(Tabela1[[#This Row],[CONCATENAR]],'Classificações - Demonstrações'!$A$5:$C$46003,2,)</f>
        <v>Imobilizado</v>
      </c>
      <c r="I536" s="87"/>
    </row>
    <row r="537" spans="1:9" ht="12.75" customHeight="1" x14ac:dyDescent="0.2">
      <c r="A537" s="94" t="s">
        <v>5311</v>
      </c>
      <c r="B537" s="87" t="s">
        <v>410</v>
      </c>
      <c r="C537" s="87" t="s">
        <v>405</v>
      </c>
      <c r="D537" s="89">
        <v>-13154500.85</v>
      </c>
      <c r="E537" s="89"/>
      <c r="F537" s="89"/>
      <c r="G537" s="87" t="str">
        <f t="shared" si="8"/>
        <v>123810200* = DEPRECIACAO ACUMULADA - BENS IMOVEIS123210700</v>
      </c>
      <c r="H537" s="87" t="str">
        <f>VLOOKUP(Tabela1[[#This Row],[CONCATENAR]],'Classificações - Demonstrações'!$A$5:$C$46003,2,)</f>
        <v>Imobilizado</v>
      </c>
      <c r="I537" s="87"/>
    </row>
    <row r="538" spans="1:9" ht="12.75" customHeight="1" x14ac:dyDescent="0.2">
      <c r="A538" s="94" t="s">
        <v>5312</v>
      </c>
      <c r="B538" s="87" t="s">
        <v>411</v>
      </c>
      <c r="C538" s="87" t="s">
        <v>366</v>
      </c>
      <c r="D538" s="89">
        <v>-90386.16</v>
      </c>
      <c r="E538" s="89"/>
      <c r="F538" s="89"/>
      <c r="G538" s="87" t="str">
        <f t="shared" si="8"/>
        <v>123910100* = REDUCAO AO VALOR RECUP DE IMOBILIZADO-MOVEIS123110101</v>
      </c>
      <c r="H538" s="87" t="str">
        <f>VLOOKUP(Tabela1[[#This Row],[CONCATENAR]],'Classificações - Demonstrações'!$A$5:$C$46003,2,)</f>
        <v>Imobilizado</v>
      </c>
      <c r="I538" s="87"/>
    </row>
    <row r="539" spans="1:9" ht="12.75" customHeight="1" x14ac:dyDescent="0.2">
      <c r="A539" s="94" t="s">
        <v>5312</v>
      </c>
      <c r="B539" s="87" t="s">
        <v>411</v>
      </c>
      <c r="C539" s="87" t="s">
        <v>370</v>
      </c>
      <c r="D539" s="89">
        <v>-44899.24</v>
      </c>
      <c r="E539" s="89"/>
      <c r="F539" s="89"/>
      <c r="G539" s="87" t="str">
        <f t="shared" si="8"/>
        <v>123910100* = REDUCAO AO VALOR RECUP DE IMOBILIZADO-MOVEIS123110103</v>
      </c>
      <c r="H539" s="87" t="str">
        <f>VLOOKUP(Tabela1[[#This Row],[CONCATENAR]],'Classificações - Demonstrações'!$A$5:$C$46003,2,)</f>
        <v>Imobilizado</v>
      </c>
      <c r="I539" s="87"/>
    </row>
    <row r="540" spans="1:9" ht="12.75" customHeight="1" x14ac:dyDescent="0.2">
      <c r="A540" s="94" t="s">
        <v>5312</v>
      </c>
      <c r="B540" s="87" t="s">
        <v>411</v>
      </c>
      <c r="C540" s="87" t="s">
        <v>372</v>
      </c>
      <c r="D540" s="88">
        <v>-36108.550000000003</v>
      </c>
      <c r="E540" s="89"/>
      <c r="F540" s="89"/>
      <c r="G540" s="87" t="str">
        <f t="shared" si="8"/>
        <v>123910100* = REDUCAO AO VALOR RECUP DE IMOBILIZADO-MOVEIS123110105</v>
      </c>
      <c r="H540" s="87" t="str">
        <f>VLOOKUP(Tabela1[[#This Row],[CONCATENAR]],'Classificações - Demonstrações'!$A$5:$C$46003,2,)</f>
        <v>Imobilizado</v>
      </c>
      <c r="I540" s="87"/>
    </row>
    <row r="541" spans="1:9" ht="12.75" customHeight="1" x14ac:dyDescent="0.2">
      <c r="A541" s="94" t="s">
        <v>5312</v>
      </c>
      <c r="B541" s="87" t="s">
        <v>411</v>
      </c>
      <c r="C541" s="87" t="s">
        <v>374</v>
      </c>
      <c r="D541" s="89">
        <v>-1662671.66</v>
      </c>
      <c r="E541" s="89"/>
      <c r="F541" s="89"/>
      <c r="G541" s="87" t="str">
        <f t="shared" si="8"/>
        <v>123910100* = REDUCAO AO VALOR RECUP DE IMOBILIZADO-MOVEIS123110106</v>
      </c>
      <c r="H541" s="87" t="str">
        <f>VLOOKUP(Tabela1[[#This Row],[CONCATENAR]],'Classificações - Demonstrações'!$A$5:$C$46003,2,)</f>
        <v>Imobilizado</v>
      </c>
      <c r="I541" s="87"/>
    </row>
    <row r="542" spans="1:9" ht="12.75" customHeight="1" x14ac:dyDescent="0.2">
      <c r="A542" s="94" t="s">
        <v>5312</v>
      </c>
      <c r="B542" s="87" t="s">
        <v>411</v>
      </c>
      <c r="C542" s="87" t="s">
        <v>376</v>
      </c>
      <c r="D542" s="89">
        <v>-124369.78</v>
      </c>
      <c r="E542" s="89"/>
      <c r="F542" s="89"/>
      <c r="G542" s="87" t="str">
        <f t="shared" si="8"/>
        <v>123910100* = REDUCAO AO VALOR RECUP DE IMOBILIZADO-MOVEIS123110107</v>
      </c>
      <c r="H542" s="87" t="str">
        <f>VLOOKUP(Tabela1[[#This Row],[CONCATENAR]],'Classificações - Demonstrações'!$A$5:$C$46003,2,)</f>
        <v>Imobilizado</v>
      </c>
      <c r="I542" s="87"/>
    </row>
    <row r="543" spans="1:9" ht="12.75" customHeight="1" x14ac:dyDescent="0.2">
      <c r="A543" s="94" t="s">
        <v>5312</v>
      </c>
      <c r="B543" s="87" t="s">
        <v>411</v>
      </c>
      <c r="C543" s="87" t="s">
        <v>378</v>
      </c>
      <c r="D543" s="89">
        <v>-7527.42</v>
      </c>
      <c r="E543" s="89"/>
      <c r="F543" s="89"/>
      <c r="G543" s="87" t="str">
        <f t="shared" si="8"/>
        <v>123910100* = REDUCAO AO VALOR RECUP DE IMOBILIZADO-MOVEIS123110125</v>
      </c>
      <c r="H543" s="87" t="str">
        <f>VLOOKUP(Tabela1[[#This Row],[CONCATENAR]],'Classificações - Demonstrações'!$A$5:$C$46003,2,)</f>
        <v>Imobilizado</v>
      </c>
      <c r="I543" s="87"/>
    </row>
    <row r="544" spans="1:9" ht="12.75" customHeight="1" x14ac:dyDescent="0.2">
      <c r="A544" s="94" t="s">
        <v>5312</v>
      </c>
      <c r="B544" s="87" t="s">
        <v>411</v>
      </c>
      <c r="C544" s="87" t="s">
        <v>380</v>
      </c>
      <c r="D544" s="89">
        <v>-82086.570000000007</v>
      </c>
      <c r="E544" s="89"/>
      <c r="F544" s="89"/>
      <c r="G544" s="87" t="str">
        <f t="shared" si="8"/>
        <v>123910100* = REDUCAO AO VALOR RECUP DE IMOBILIZADO-MOVEIS123110201</v>
      </c>
      <c r="H544" s="87" t="str">
        <f>VLOOKUP(Tabela1[[#This Row],[CONCATENAR]],'Classificações - Demonstrações'!$A$5:$C$46003,2,)</f>
        <v>Imobilizado</v>
      </c>
      <c r="I544" s="87"/>
    </row>
    <row r="545" spans="1:9" ht="12.75" customHeight="1" x14ac:dyDescent="0.2">
      <c r="A545" s="94" t="s">
        <v>5312</v>
      </c>
      <c r="B545" s="87" t="s">
        <v>411</v>
      </c>
      <c r="C545" s="87" t="s">
        <v>382</v>
      </c>
      <c r="D545" s="89">
        <v>-45373.29</v>
      </c>
      <c r="E545" s="89"/>
      <c r="F545" s="89"/>
      <c r="G545" s="87" t="str">
        <f t="shared" si="8"/>
        <v>123910100* = REDUCAO AO VALOR RECUP DE IMOBILIZADO-MOVEIS123110301</v>
      </c>
      <c r="H545" s="87" t="str">
        <f>VLOOKUP(Tabela1[[#This Row],[CONCATENAR]],'Classificações - Demonstrações'!$A$5:$C$46003,2,)</f>
        <v>Imobilizado</v>
      </c>
      <c r="I545" s="87"/>
    </row>
    <row r="546" spans="1:9" ht="12.75" customHeight="1" x14ac:dyDescent="0.2">
      <c r="A546" s="94" t="s">
        <v>5312</v>
      </c>
      <c r="B546" s="87" t="s">
        <v>411</v>
      </c>
      <c r="C546" s="87" t="s">
        <v>384</v>
      </c>
      <c r="D546" s="89">
        <v>-77.739999999999995</v>
      </c>
      <c r="E546" s="89"/>
      <c r="F546" s="89"/>
      <c r="G546" s="87" t="str">
        <f t="shared" si="8"/>
        <v>123910100* = REDUCAO AO VALOR RECUP DE IMOBILIZADO-MOVEIS123110302</v>
      </c>
      <c r="H546" s="87" t="str">
        <f>VLOOKUP(Tabela1[[#This Row],[CONCATENAR]],'Classificações - Demonstrações'!$A$5:$C$46003,2,)</f>
        <v>Imobilizado</v>
      </c>
      <c r="I546" s="87"/>
    </row>
    <row r="547" spans="1:9" ht="12.75" customHeight="1" x14ac:dyDescent="0.2">
      <c r="A547" s="94" t="s">
        <v>5312</v>
      </c>
      <c r="B547" s="87" t="s">
        <v>411</v>
      </c>
      <c r="C547" s="87" t="s">
        <v>386</v>
      </c>
      <c r="D547" s="88">
        <v>-140948.75</v>
      </c>
      <c r="E547" s="89"/>
      <c r="F547" s="89"/>
      <c r="G547" s="87" t="str">
        <f t="shared" si="8"/>
        <v>123910100* = REDUCAO AO VALOR RECUP DE IMOBILIZADO-MOVEIS123110303</v>
      </c>
      <c r="H547" s="87" t="str">
        <f>VLOOKUP(Tabela1[[#This Row],[CONCATENAR]],'Classificações - Demonstrações'!$A$5:$C$46003,2,)</f>
        <v>Imobilizado</v>
      </c>
      <c r="I547" s="87"/>
    </row>
    <row r="548" spans="1:9" ht="12.75" customHeight="1" x14ac:dyDescent="0.2">
      <c r="A548" s="94" t="s">
        <v>5312</v>
      </c>
      <c r="B548" s="87" t="s">
        <v>411</v>
      </c>
      <c r="C548" s="87" t="s">
        <v>388</v>
      </c>
      <c r="D548" s="89">
        <v>-8887.75</v>
      </c>
      <c r="E548" s="89"/>
      <c r="F548" s="89"/>
      <c r="G548" s="87" t="str">
        <f t="shared" si="8"/>
        <v>123910100* = REDUCAO AO VALOR RECUP DE IMOBILIZADO-MOVEIS123110405</v>
      </c>
      <c r="H548" s="87" t="str">
        <f>VLOOKUP(Tabela1[[#This Row],[CONCATENAR]],'Classificações - Demonstrações'!$A$5:$C$46003,2,)</f>
        <v>Imobilizado</v>
      </c>
      <c r="I548" s="87"/>
    </row>
    <row r="549" spans="1:9" ht="12.75" customHeight="1" x14ac:dyDescent="0.2">
      <c r="A549" s="94" t="s">
        <v>5313</v>
      </c>
      <c r="B549" s="87" t="s">
        <v>412</v>
      </c>
      <c r="C549" s="87" t="s">
        <v>405</v>
      </c>
      <c r="D549" s="89">
        <v>-117413.82</v>
      </c>
      <c r="E549" s="89"/>
      <c r="F549" s="89"/>
      <c r="G549" s="87" t="str">
        <f t="shared" si="8"/>
        <v>123910200* = REDUCAO AO VALOR RECUP DE IMOBILIZADO-IMOVEIS123210700</v>
      </c>
      <c r="H549" s="87" t="str">
        <f>VLOOKUP(Tabela1[[#This Row],[CONCATENAR]],'Classificações - Demonstrações'!$A$5:$C$46003,2,)</f>
        <v>Imobilizado</v>
      </c>
      <c r="I549" s="87"/>
    </row>
    <row r="550" spans="1:9" ht="12.75" customHeight="1" x14ac:dyDescent="0.2">
      <c r="A550" s="94" t="s">
        <v>413</v>
      </c>
      <c r="B550" s="87" t="s">
        <v>414</v>
      </c>
      <c r="C550" s="87" t="s">
        <v>415</v>
      </c>
      <c r="D550" s="89">
        <v>143260.32999999999</v>
      </c>
      <c r="E550" s="89"/>
      <c r="F550" s="89"/>
      <c r="G550" s="87" t="str">
        <f t="shared" si="8"/>
        <v>124110101'= SOFTWARESIS105CB20</v>
      </c>
      <c r="H550" s="87" t="str">
        <f>VLOOKUP(Tabela1[[#This Row],[CONCATENAR]],'Classificações - Demonstrações'!$A$5:$C$46003,2,)</f>
        <v>Intangível</v>
      </c>
      <c r="I550" s="87"/>
    </row>
    <row r="551" spans="1:9" ht="12.75" customHeight="1" x14ac:dyDescent="0.2">
      <c r="A551" s="94" t="s">
        <v>413</v>
      </c>
      <c r="B551" s="87" t="s">
        <v>414</v>
      </c>
      <c r="C551" s="87" t="s">
        <v>416</v>
      </c>
      <c r="D551" s="88">
        <v>24555.97</v>
      </c>
      <c r="E551" s="89"/>
      <c r="F551" s="89"/>
      <c r="G551" s="87" t="str">
        <f t="shared" si="8"/>
        <v>124110101'= SOFTWARESISCOMMVAU</v>
      </c>
      <c r="H551" s="87" t="str">
        <f>VLOOKUP(Tabela1[[#This Row],[CONCATENAR]],'Classificações - Demonstrações'!$A$5:$C$46003,2,)</f>
        <v>Intangível</v>
      </c>
      <c r="I551" s="87"/>
    </row>
    <row r="552" spans="1:9" ht="12.75" customHeight="1" x14ac:dyDescent="0.2">
      <c r="A552" s="94" t="s">
        <v>413</v>
      </c>
      <c r="B552" s="87" t="s">
        <v>414</v>
      </c>
      <c r="C552" s="87" t="s">
        <v>417</v>
      </c>
      <c r="D552" s="88">
        <v>140400</v>
      </c>
      <c r="E552" s="89"/>
      <c r="F552" s="89"/>
      <c r="G552" s="87" t="str">
        <f t="shared" si="8"/>
        <v>124110101'= SOFTWARESISSQL5514</v>
      </c>
      <c r="H552" s="87" t="str">
        <f>VLOOKUP(Tabela1[[#This Row],[CONCATENAR]],'Classificações - Demonstrações'!$A$5:$C$46003,2,)</f>
        <v>Intangível</v>
      </c>
      <c r="I552" s="87"/>
    </row>
    <row r="553" spans="1:9" ht="12.75" customHeight="1" x14ac:dyDescent="0.2">
      <c r="A553" s="94" t="s">
        <v>5314</v>
      </c>
      <c r="B553" s="87" t="s">
        <v>418</v>
      </c>
      <c r="C553" s="87" t="s">
        <v>419</v>
      </c>
      <c r="D553" s="88">
        <v>982578.08</v>
      </c>
      <c r="E553" s="89"/>
      <c r="F553" s="89"/>
      <c r="G553" s="87" t="str">
        <f t="shared" si="8"/>
        <v>124210105'= ADIANTAMENTOS P/ TRANSFERENCIA DE TECNOLOGIAIS1241001</v>
      </c>
      <c r="H553" s="87" t="str">
        <f>VLOOKUP(Tabela1[[#This Row],[CONCATENAR]],'Classificações - Demonstrações'!$A$5:$C$46003,2,)</f>
        <v>Intangível</v>
      </c>
      <c r="I553" s="87"/>
    </row>
    <row r="554" spans="1:9" ht="12.75" customHeight="1" x14ac:dyDescent="0.2">
      <c r="A554" s="94" t="s">
        <v>5314</v>
      </c>
      <c r="B554" s="87" t="s">
        <v>418</v>
      </c>
      <c r="C554" s="87" t="s">
        <v>420</v>
      </c>
      <c r="D554" s="89">
        <v>359825.14</v>
      </c>
      <c r="E554" s="89"/>
      <c r="F554" s="89"/>
      <c r="G554" s="87" t="str">
        <f t="shared" si="8"/>
        <v>124210105'= ADIANTAMENTOS P/ TRANSFERENCIA DE TECNOLOGIAISCS01126</v>
      </c>
      <c r="H554" s="87" t="str">
        <f>VLOOKUP(Tabela1[[#This Row],[CONCATENAR]],'Classificações - Demonstrações'!$A$5:$C$46003,2,)</f>
        <v>Intangível</v>
      </c>
      <c r="I554" s="87"/>
    </row>
    <row r="555" spans="1:9" ht="12.75" customHeight="1" x14ac:dyDescent="0.2">
      <c r="A555" s="94" t="s">
        <v>5315</v>
      </c>
      <c r="B555" s="87" t="s">
        <v>421</v>
      </c>
      <c r="C555" s="87" t="s">
        <v>413</v>
      </c>
      <c r="D555" s="89">
        <v>-198788.41</v>
      </c>
      <c r="E555" s="89"/>
      <c r="F555" s="89"/>
      <c r="G555" s="87" t="str">
        <f t="shared" si="8"/>
        <v>124810100* = AMORTIZACAO ACUMULADA - CONTAS 1241101XX124110101</v>
      </c>
      <c r="H555" s="87" t="str">
        <f>VLOOKUP(Tabela1[[#This Row],[CONCATENAR]],'Classificações - Demonstrações'!$A$5:$C$46003,2,)</f>
        <v>Intangível</v>
      </c>
      <c r="I555" s="87"/>
    </row>
    <row r="556" spans="1:9" ht="12.75" customHeight="1" x14ac:dyDescent="0.2">
      <c r="A556" s="94" t="s">
        <v>5316</v>
      </c>
      <c r="B556" s="87" t="s">
        <v>422</v>
      </c>
      <c r="C556" s="87" t="s">
        <v>423</v>
      </c>
      <c r="D556" s="486">
        <v>10112362.4</v>
      </c>
      <c r="E556" s="89"/>
      <c r="F556" s="89"/>
      <c r="G556" s="87" t="str">
        <f t="shared" si="8"/>
        <v>211110101'= SALARIOS, REMUNERACOES E BENEFICIOS1000000000</v>
      </c>
      <c r="H556" s="87" t="str">
        <f>VLOOKUP(Tabela1[[#This Row],[CONCATENAR]],'Classificações - Demonstrações'!$A$5:$C$46003,2,)</f>
        <v>Obrigações Trabalhistas e Sociais</v>
      </c>
      <c r="I556" s="87"/>
    </row>
    <row r="557" spans="1:9" ht="12.75" customHeight="1" x14ac:dyDescent="0.2">
      <c r="A557" s="94" t="s">
        <v>5316</v>
      </c>
      <c r="B557" s="87" t="s">
        <v>422</v>
      </c>
      <c r="C557" s="87" t="s">
        <v>319</v>
      </c>
      <c r="D557" s="486">
        <v>88802.6</v>
      </c>
      <c r="E557" s="89"/>
      <c r="F557" s="89"/>
      <c r="G557" s="87" t="str">
        <f t="shared" si="8"/>
        <v>211110101'= SALARIOS, REMUNERACOES E BENEFICIOSSEM INFORMACAO</v>
      </c>
      <c r="H557" s="87" t="str">
        <f>VLOOKUP(Tabela1[[#This Row],[CONCATENAR]],'Classificações - Demonstrações'!$A$5:$C$46003,2,)</f>
        <v>Obrigações Trabalhistas e Sociais</v>
      </c>
      <c r="I557" s="87"/>
    </row>
    <row r="558" spans="1:9" ht="12.75" customHeight="1" x14ac:dyDescent="0.2">
      <c r="A558" s="94" t="s">
        <v>5317</v>
      </c>
      <c r="B558" s="87" t="s">
        <v>424</v>
      </c>
      <c r="C558" s="87" t="s">
        <v>319</v>
      </c>
      <c r="D558" s="486">
        <v>4923816.03</v>
      </c>
      <c r="E558" s="89"/>
      <c r="F558" s="89"/>
      <c r="G558" s="87" t="str">
        <f t="shared" si="8"/>
        <v>211110102DECIMO TERCEIRO SALARIO A PAGARSEM INFORMACAO</v>
      </c>
      <c r="H558" s="87" t="str">
        <f>VLOOKUP(Tabela1[[#This Row],[CONCATENAR]],'Classificações - Demonstrações'!$A$5:$C$46003,2,)</f>
        <v>Obrigações Trabalhistas e Sociais</v>
      </c>
      <c r="I558" s="87"/>
    </row>
    <row r="559" spans="1:9" ht="12.75" customHeight="1" x14ac:dyDescent="0.2">
      <c r="A559" s="94" t="s">
        <v>5318</v>
      </c>
      <c r="B559" s="87" t="s">
        <v>425</v>
      </c>
      <c r="C559" s="87" t="s">
        <v>319</v>
      </c>
      <c r="D559" s="487">
        <v>27522563.670000002</v>
      </c>
      <c r="E559" s="89"/>
      <c r="F559" s="89"/>
      <c r="G559" s="87" t="str">
        <f t="shared" si="8"/>
        <v>211110103FERIAS A PAGARSEM INFORMACAO</v>
      </c>
      <c r="H559" s="87" t="str">
        <f>VLOOKUP(Tabela1[[#This Row],[CONCATENAR]],'Classificações - Demonstrações'!$A$5:$C$46003,2,)</f>
        <v>Obrigações Trabalhistas e Sociais</v>
      </c>
      <c r="I559" s="87"/>
    </row>
    <row r="560" spans="1:9" ht="12.75" customHeight="1" x14ac:dyDescent="0.2">
      <c r="A560" s="94" t="s">
        <v>5319</v>
      </c>
      <c r="B560" s="87" t="s">
        <v>426</v>
      </c>
      <c r="C560" s="87" t="s">
        <v>427</v>
      </c>
      <c r="D560" s="89">
        <v>1253300.5900000001</v>
      </c>
      <c r="E560" s="88"/>
      <c r="F560" s="88"/>
      <c r="G560" s="87" t="str">
        <f t="shared" si="8"/>
        <v>211410301'= CONTRIBUICAO A ENTIDADES DE PREVIDEN. PRIVADA100000000030022727000130</v>
      </c>
      <c r="H560" s="87" t="str">
        <f>VLOOKUP(Tabela1[[#This Row],[CONCATENAR]],'Classificações - Demonstrações'!$A$5:$C$46003,2,)</f>
        <v>Previdência Privada - NUCLEOS</v>
      </c>
      <c r="I560" s="87"/>
    </row>
    <row r="561" spans="1:9" ht="12.75" customHeight="1" x14ac:dyDescent="0.2">
      <c r="A561" s="94" t="s">
        <v>5319</v>
      </c>
      <c r="B561" s="87" t="s">
        <v>426</v>
      </c>
      <c r="C561" s="87" t="s">
        <v>5661</v>
      </c>
      <c r="D561" s="89">
        <v>21957194.719999999</v>
      </c>
      <c r="E561" s="89"/>
      <c r="F561" s="89"/>
      <c r="G561" s="87" t="str">
        <f t="shared" si="8"/>
        <v>211410301'= CONTRIBUICAO A ENTIDADES DE PREVIDEN. PRIVADAPEPED2007</v>
      </c>
      <c r="H561" s="87" t="str">
        <f>VLOOKUP(Tabela1[[#This Row],[CONCATENAR]],'Classificações - Demonstrações'!$A$5:$C$46003,2,)</f>
        <v>Previdência Privada - NUCLEOS</v>
      </c>
      <c r="I561" s="87"/>
    </row>
    <row r="562" spans="1:9" ht="12.75" customHeight="1" x14ac:dyDescent="0.2">
      <c r="A562" s="94" t="s">
        <v>5319</v>
      </c>
      <c r="B562" s="87" t="s">
        <v>426</v>
      </c>
      <c r="C562" s="87" t="s">
        <v>5662</v>
      </c>
      <c r="D562" s="89">
        <v>2427131.96</v>
      </c>
      <c r="E562" s="89"/>
      <c r="F562" s="89"/>
      <c r="G562" s="87" t="str">
        <f t="shared" si="8"/>
        <v>211410301'= CONTRIBUICAO A ENTIDADES DE PREVIDEN. PRIVADAPEPED2021</v>
      </c>
      <c r="H562" s="87" t="str">
        <f>VLOOKUP(Tabela1[[#This Row],[CONCATENAR]],'Classificações - Demonstrações'!$A$5:$C$46003,2,)</f>
        <v>Previdência Privada - NUCLEOS</v>
      </c>
      <c r="I562" s="87"/>
    </row>
    <row r="563" spans="1:9" ht="12.75" customHeight="1" x14ac:dyDescent="0.2">
      <c r="A563" s="94" t="s">
        <v>5320</v>
      </c>
      <c r="B563" s="87" t="s">
        <v>429</v>
      </c>
      <c r="C563" s="87" t="s">
        <v>430</v>
      </c>
      <c r="D563" s="487">
        <v>234.78</v>
      </c>
      <c r="E563" s="89"/>
      <c r="F563" s="89"/>
      <c r="G563" s="87" t="str">
        <f t="shared" si="8"/>
        <v>211410600'= FGTS1000000000PF9999906</v>
      </c>
      <c r="H563" s="87" t="str">
        <f>VLOOKUP(Tabela1[[#This Row],[CONCATENAR]],'Classificações - Demonstrações'!$A$5:$C$46003,2,)</f>
        <v>Obrigações Trabalhistas e Sociais</v>
      </c>
      <c r="I563" s="87"/>
    </row>
    <row r="564" spans="1:9" ht="12.75" customHeight="1" x14ac:dyDescent="0.2">
      <c r="A564" s="94" t="s">
        <v>5320</v>
      </c>
      <c r="B564" s="87" t="s">
        <v>429</v>
      </c>
      <c r="C564" s="87" t="s">
        <v>432</v>
      </c>
      <c r="D564" s="487">
        <v>279201.40000000002</v>
      </c>
      <c r="E564" s="89"/>
      <c r="F564" s="89"/>
      <c r="G564" s="87" t="str">
        <f t="shared" si="8"/>
        <v>211410600'= FGTSPDENC0001</v>
      </c>
      <c r="H564" s="87" t="str">
        <f>VLOOKUP(Tabela1[[#This Row],[CONCATENAR]],'Classificações - Demonstrações'!$A$5:$C$46003,2,)</f>
        <v>Obrigações Trabalhistas e Sociais</v>
      </c>
      <c r="I564" s="87"/>
    </row>
    <row r="565" spans="1:9" ht="12.75" customHeight="1" x14ac:dyDescent="0.2">
      <c r="A565" s="94" t="s">
        <v>5320</v>
      </c>
      <c r="B565" s="87" t="s">
        <v>429</v>
      </c>
      <c r="C565" s="87" t="s">
        <v>433</v>
      </c>
      <c r="D565" s="487">
        <v>1458477.11</v>
      </c>
      <c r="E565" s="89"/>
      <c r="F565" s="89"/>
      <c r="G565" s="87" t="str">
        <f t="shared" si="8"/>
        <v>211410600'= FGTSPDENC0002</v>
      </c>
      <c r="H565" s="87" t="str">
        <f>VLOOKUP(Tabela1[[#This Row],[CONCATENAR]],'Classificações - Demonstrações'!$A$5:$C$46003,2,)</f>
        <v>Obrigações Trabalhistas e Sociais</v>
      </c>
      <c r="I565" s="87"/>
    </row>
    <row r="566" spans="1:9" ht="12.75" customHeight="1" x14ac:dyDescent="0.2">
      <c r="A566" s="94" t="s">
        <v>5320</v>
      </c>
      <c r="B566" s="87" t="s">
        <v>429</v>
      </c>
      <c r="C566" s="87" t="s">
        <v>6013</v>
      </c>
      <c r="D566" s="89">
        <v>0</v>
      </c>
      <c r="E566" s="89"/>
      <c r="F566" s="89"/>
      <c r="G566" s="87" t="str">
        <f t="shared" si="8"/>
        <v>211410600'= FGTSPDENC0005</v>
      </c>
      <c r="H566" s="87" t="str">
        <f>VLOOKUP(Tabela1[[#This Row],[CONCATENAR]],'Classificações - Demonstrações'!$A$5:$C$46003,2,)</f>
        <v>Obrigações Trabalhistas e Sociais</v>
      </c>
      <c r="I566" s="87"/>
    </row>
    <row r="567" spans="1:9" ht="12.75" customHeight="1" x14ac:dyDescent="0.2">
      <c r="A567" s="94" t="s">
        <v>5321</v>
      </c>
      <c r="B567" s="87" t="s">
        <v>434</v>
      </c>
      <c r="C567" s="87" t="s">
        <v>423</v>
      </c>
      <c r="D567" s="89">
        <v>131.33000000000001</v>
      </c>
      <c r="E567" s="89"/>
      <c r="F567" s="89"/>
      <c r="G567" s="87" t="str">
        <f t="shared" si="8"/>
        <v>211411200'= ENCARGOS SOCIAIS - CONVENIO DE ARRECAD DIRETA1000000000</v>
      </c>
      <c r="H567" s="87" t="str">
        <f>VLOOKUP(Tabela1[[#This Row],[CONCATENAR]],'Classificações - Demonstrações'!$A$5:$C$46003,2,)</f>
        <v>Obrigações Trabalhistas e Sociais</v>
      </c>
      <c r="I567" s="87"/>
    </row>
    <row r="568" spans="1:9" ht="12.75" customHeight="1" x14ac:dyDescent="0.2">
      <c r="A568" s="94" t="s">
        <v>5321</v>
      </c>
      <c r="B568" s="87" t="s">
        <v>434</v>
      </c>
      <c r="C568" s="87" t="s">
        <v>319</v>
      </c>
      <c r="D568" s="89">
        <v>0</v>
      </c>
      <c r="E568" s="89"/>
      <c r="F568" s="89"/>
      <c r="G568" s="87" t="str">
        <f t="shared" si="8"/>
        <v>211411200'= ENCARGOS SOCIAIS - CONVENIO DE ARRECAD DIRETASEM INFORMACAO</v>
      </c>
      <c r="H568" s="87" t="str">
        <f>VLOOKUP(Tabela1[[#This Row],[CONCATENAR]],'Classificações - Demonstrações'!$A$5:$C$46003,2,)</f>
        <v>Obrigações Trabalhistas e Sociais</v>
      </c>
      <c r="I568" s="87"/>
    </row>
    <row r="569" spans="1:9" ht="12.75" customHeight="1" x14ac:dyDescent="0.2">
      <c r="A569" s="94" t="s">
        <v>5322</v>
      </c>
      <c r="B569" s="87" t="s">
        <v>6014</v>
      </c>
      <c r="C569" s="87" t="s">
        <v>423</v>
      </c>
      <c r="D569" s="89">
        <v>35755.120000000003</v>
      </c>
      <c r="E569" s="89"/>
      <c r="F569" s="89"/>
      <c r="G569" s="87" t="str">
        <f t="shared" si="8"/>
        <v>211420101'= INSS - CONTRIB SOBRE SALARIOS E REMUNERACOES1000000000</v>
      </c>
      <c r="H569" s="87" t="str">
        <f>VLOOKUP(Tabela1[[#This Row],[CONCATENAR]],'Classificações - Demonstrações'!$A$5:$C$46003,2,)</f>
        <v>Obrigações Trabalhistas e Sociais</v>
      </c>
      <c r="I569" s="87"/>
    </row>
    <row r="570" spans="1:9" ht="12.75" customHeight="1" x14ac:dyDescent="0.2">
      <c r="A570" s="94" t="s">
        <v>5322</v>
      </c>
      <c r="B570" s="87" t="s">
        <v>6014</v>
      </c>
      <c r="C570" s="87" t="s">
        <v>319</v>
      </c>
      <c r="D570" s="487">
        <v>4344195.8</v>
      </c>
      <c r="E570" s="89"/>
      <c r="F570" s="89"/>
      <c r="G570" s="87" t="str">
        <f t="shared" si="8"/>
        <v>211420101'= INSS - CONTRIB SOBRE SALARIOS E REMUNERACOESSEM INFORMACAO</v>
      </c>
      <c r="H570" s="87" t="str">
        <f>VLOOKUP(Tabela1[[#This Row],[CONCATENAR]],'Classificações - Demonstrações'!$A$5:$C$46003,2,)</f>
        <v>Obrigações Trabalhistas e Sociais</v>
      </c>
      <c r="I570" s="87"/>
    </row>
    <row r="571" spans="1:9" ht="12.75" customHeight="1" x14ac:dyDescent="0.2">
      <c r="A571" s="94" t="s">
        <v>5323</v>
      </c>
      <c r="B571" s="87" t="s">
        <v>435</v>
      </c>
      <c r="C571" s="87" t="s">
        <v>6015</v>
      </c>
      <c r="D571" s="89">
        <v>0</v>
      </c>
      <c r="E571" s="89"/>
      <c r="F571" s="89"/>
      <c r="G571" s="87" t="str">
        <f t="shared" si="8"/>
        <v>213110400'= CONTAS A PAGAR CREDORES NACIONAIS00100408000135</v>
      </c>
      <c r="H571" s="87" t="str">
        <f>VLOOKUP(Tabela1[[#This Row],[CONCATENAR]],'Classificações - Demonstrações'!$A$5:$C$46003,2,)</f>
        <v>Fornecedores</v>
      </c>
      <c r="I571" s="87"/>
    </row>
    <row r="572" spans="1:9" ht="12.75" customHeight="1" x14ac:dyDescent="0.2">
      <c r="A572" s="94" t="s">
        <v>5323</v>
      </c>
      <c r="B572" s="87" t="s">
        <v>435</v>
      </c>
      <c r="C572" s="87" t="s">
        <v>5307</v>
      </c>
      <c r="D572" s="89">
        <v>2096784.38</v>
      </c>
      <c r="E572" s="89"/>
      <c r="F572" s="89"/>
      <c r="G572" s="87" t="str">
        <f t="shared" si="8"/>
        <v>213110400'= CONTAS A PAGAR CREDORES NACIONAIS00138806000140</v>
      </c>
      <c r="H572" s="87" t="str">
        <f>VLOOKUP(Tabela1[[#This Row],[CONCATENAR]],'Classificações - Demonstrações'!$A$5:$C$46003,2,)</f>
        <v>Fornecedores</v>
      </c>
      <c r="I572" s="87"/>
    </row>
    <row r="573" spans="1:9" ht="12.75" customHeight="1" x14ac:dyDescent="0.2">
      <c r="A573" s="94" t="s">
        <v>5323</v>
      </c>
      <c r="B573" s="87" t="s">
        <v>435</v>
      </c>
      <c r="C573" s="87" t="s">
        <v>6016</v>
      </c>
      <c r="D573" s="89">
        <v>0</v>
      </c>
      <c r="E573" s="89"/>
      <c r="F573" s="89"/>
      <c r="G573" s="87" t="str">
        <f t="shared" si="8"/>
        <v>213110400'= CONTAS A PAGAR CREDORES NACIONAIS00205734000379</v>
      </c>
      <c r="H573" s="87" t="str">
        <f>VLOOKUP(Tabela1[[#This Row],[CONCATENAR]],'Classificações - Demonstrações'!$A$5:$C$46003,2,)</f>
        <v>Fornecedores</v>
      </c>
      <c r="I573" s="87"/>
    </row>
    <row r="574" spans="1:9" ht="12.75" customHeight="1" x14ac:dyDescent="0.2">
      <c r="A574" s="94" t="s">
        <v>5323</v>
      </c>
      <c r="B574" s="87" t="s">
        <v>435</v>
      </c>
      <c r="C574" s="87" t="s">
        <v>6017</v>
      </c>
      <c r="D574" s="89">
        <v>24579.7</v>
      </c>
      <c r="E574" s="89"/>
      <c r="F574" s="89"/>
      <c r="G574" s="87" t="str">
        <f t="shared" si="8"/>
        <v>213110400'= CONTAS A PAGAR CREDORES NACIONAIS00331788000623</v>
      </c>
      <c r="H574" s="87" t="str">
        <f>VLOOKUP(Tabela1[[#This Row],[CONCATENAR]],'Classificações - Demonstrações'!$A$5:$C$46003,2,)</f>
        <v>Fornecedores</v>
      </c>
      <c r="I574" s="87"/>
    </row>
    <row r="575" spans="1:9" ht="12.75" customHeight="1" x14ac:dyDescent="0.2">
      <c r="A575" s="94" t="s">
        <v>5323</v>
      </c>
      <c r="B575" s="87" t="s">
        <v>435</v>
      </c>
      <c r="C575" s="87" t="s">
        <v>6018</v>
      </c>
      <c r="D575" s="89">
        <v>0</v>
      </c>
      <c r="E575" s="89"/>
      <c r="F575" s="89"/>
      <c r="G575" s="87" t="str">
        <f t="shared" si="8"/>
        <v>213110400'= CONTAS A PAGAR CREDORES NACIONAIS00331788003134</v>
      </c>
      <c r="H575" s="87" t="str">
        <f>VLOOKUP(Tabela1[[#This Row],[CONCATENAR]],'Classificações - Demonstrações'!$A$5:$C$46003,2,)</f>
        <v>Fornecedores</v>
      </c>
      <c r="I575" s="87"/>
    </row>
    <row r="576" spans="1:9" ht="12.75" customHeight="1" x14ac:dyDescent="0.2">
      <c r="A576" s="94" t="s">
        <v>5323</v>
      </c>
      <c r="B576" s="87" t="s">
        <v>435</v>
      </c>
      <c r="C576" s="87" t="s">
        <v>6019</v>
      </c>
      <c r="D576" s="89">
        <v>0</v>
      </c>
      <c r="E576" s="89"/>
      <c r="F576" s="89"/>
      <c r="G576" s="87" t="str">
        <f t="shared" si="8"/>
        <v>213110400'= CONTAS A PAGAR CREDORES NACIONAIS00398099000121</v>
      </c>
      <c r="H576" s="87" t="str">
        <f>VLOOKUP(Tabela1[[#This Row],[CONCATENAR]],'Classificações - Demonstrações'!$A$5:$C$46003,2,)</f>
        <v>Fornecedores</v>
      </c>
      <c r="I576" s="87"/>
    </row>
    <row r="577" spans="1:9" ht="12.75" customHeight="1" x14ac:dyDescent="0.2">
      <c r="A577" s="94" t="s">
        <v>5323</v>
      </c>
      <c r="B577" s="87" t="s">
        <v>435</v>
      </c>
      <c r="C577" s="87" t="s">
        <v>6020</v>
      </c>
      <c r="D577" s="89">
        <v>2708.26</v>
      </c>
      <c r="E577" s="89"/>
      <c r="F577" s="89"/>
      <c r="G577" s="87" t="str">
        <f t="shared" si="8"/>
        <v>213110400'= CONTAS A PAGAR CREDORES NACIONAIS00604122000197</v>
      </c>
      <c r="H577" s="87" t="str">
        <f>VLOOKUP(Tabela1[[#This Row],[CONCATENAR]],'Classificações - Demonstrações'!$A$5:$C$46003,2,)</f>
        <v>Fornecedores</v>
      </c>
      <c r="I577" s="87"/>
    </row>
    <row r="578" spans="1:9" ht="12.75" customHeight="1" x14ac:dyDescent="0.2">
      <c r="A578" s="94" t="s">
        <v>5323</v>
      </c>
      <c r="B578" s="87" t="s">
        <v>435</v>
      </c>
      <c r="C578" s="87" t="s">
        <v>6021</v>
      </c>
      <c r="D578" s="89">
        <v>0</v>
      </c>
      <c r="E578" s="89"/>
      <c r="F578" s="89"/>
      <c r="G578" s="87" t="str">
        <f t="shared" si="8"/>
        <v>213110400'= CONTAS A PAGAR CREDORES NACIONAIS00910509000171</v>
      </c>
      <c r="H578" s="87" t="str">
        <f>VLOOKUP(Tabela1[[#This Row],[CONCATENAR]],'Classificações - Demonstrações'!$A$5:$C$46003,2,)</f>
        <v>Fornecedores</v>
      </c>
      <c r="I578" s="87"/>
    </row>
    <row r="579" spans="1:9" ht="12.75" customHeight="1" x14ac:dyDescent="0.2">
      <c r="A579" s="94" t="s">
        <v>5323</v>
      </c>
      <c r="B579" s="87" t="s">
        <v>435</v>
      </c>
      <c r="C579" s="87" t="s">
        <v>6022</v>
      </c>
      <c r="D579" s="89">
        <v>0</v>
      </c>
      <c r="E579" s="89"/>
      <c r="F579" s="89"/>
      <c r="G579" s="87" t="str">
        <f t="shared" si="8"/>
        <v>213110400'= CONTAS A PAGAR CREDORES NACIONAIS00910509000414</v>
      </c>
      <c r="H579" s="87" t="str">
        <f>VLOOKUP(Tabela1[[#This Row],[CONCATENAR]],'Classificações - Demonstrações'!$A$5:$C$46003,2,)</f>
        <v>Fornecedores</v>
      </c>
      <c r="I579" s="87"/>
    </row>
    <row r="580" spans="1:9" ht="12.75" customHeight="1" x14ac:dyDescent="0.2">
      <c r="A580" s="94" t="s">
        <v>5323</v>
      </c>
      <c r="B580" s="87" t="s">
        <v>435</v>
      </c>
      <c r="C580" s="87" t="s">
        <v>436</v>
      </c>
      <c r="D580" s="89">
        <v>1306</v>
      </c>
      <c r="E580" s="89"/>
      <c r="F580" s="89"/>
      <c r="G580" s="87" t="str">
        <f t="shared" si="8"/>
        <v>213110400'= CONTAS A PAGAR CREDORES NACIONAIS01117975000167</v>
      </c>
      <c r="H580" s="87" t="str">
        <f>VLOOKUP(Tabela1[[#This Row],[CONCATENAR]],'Classificações - Demonstrações'!$A$5:$C$46003,2,)</f>
        <v>Fornecedores</v>
      </c>
      <c r="I580" s="87"/>
    </row>
    <row r="581" spans="1:9" ht="12.75" customHeight="1" x14ac:dyDescent="0.2">
      <c r="A581" s="94" t="s">
        <v>5323</v>
      </c>
      <c r="B581" s="87" t="s">
        <v>435</v>
      </c>
      <c r="C581" s="87" t="s">
        <v>6023</v>
      </c>
      <c r="D581" s="89">
        <v>113172.81</v>
      </c>
      <c r="E581" s="89"/>
      <c r="F581" s="89"/>
      <c r="G581" s="87" t="str">
        <f t="shared" ref="G581:G644" si="9">CONCATENATE(A581,B581,C581)</f>
        <v>213110400'= CONTAS A PAGAR CREDORES NACIONAIS01305625000124</v>
      </c>
      <c r="H581" s="87" t="str">
        <f>VLOOKUP(Tabela1[[#This Row],[CONCATENAR]],'Classificações - Demonstrações'!$A$5:$C$46003,2,)</f>
        <v>Fornecedores</v>
      </c>
      <c r="I581" s="87"/>
    </row>
    <row r="582" spans="1:9" ht="12.75" customHeight="1" x14ac:dyDescent="0.2">
      <c r="A582" s="94" t="s">
        <v>5323</v>
      </c>
      <c r="B582" s="87" t="s">
        <v>435</v>
      </c>
      <c r="C582" s="87" t="s">
        <v>5663</v>
      </c>
      <c r="D582" s="89">
        <v>650330.03</v>
      </c>
      <c r="E582" s="89"/>
      <c r="F582" s="89"/>
      <c r="G582" s="87" t="str">
        <f t="shared" si="9"/>
        <v>213110400'= CONTAS A PAGAR CREDORES NACIONAIS01868396000156</v>
      </c>
      <c r="H582" s="87" t="str">
        <f>VLOOKUP(Tabela1[[#This Row],[CONCATENAR]],'Classificações - Demonstrações'!$A$5:$C$46003,2,)</f>
        <v>Fornecedores</v>
      </c>
      <c r="I582" s="87"/>
    </row>
    <row r="583" spans="1:9" ht="12.75" customHeight="1" x14ac:dyDescent="0.2">
      <c r="A583" s="94" t="s">
        <v>5323</v>
      </c>
      <c r="B583" s="87" t="s">
        <v>435</v>
      </c>
      <c r="C583" s="87" t="s">
        <v>291</v>
      </c>
      <c r="D583" s="89">
        <v>6542229.9800000004</v>
      </c>
      <c r="E583" s="89"/>
      <c r="F583" s="89"/>
      <c r="G583" s="87" t="str">
        <f t="shared" si="9"/>
        <v>213110400'= CONTAS A PAGAR CREDORES NACIONAIS02016558000190</v>
      </c>
      <c r="H583" s="87" t="str">
        <f>VLOOKUP(Tabela1[[#This Row],[CONCATENAR]],'Classificações - Demonstrações'!$A$5:$C$46003,2,)</f>
        <v>Fornecedores</v>
      </c>
      <c r="I583" s="87"/>
    </row>
    <row r="584" spans="1:9" ht="12.75" customHeight="1" x14ac:dyDescent="0.2">
      <c r="A584" s="94" t="s">
        <v>5323</v>
      </c>
      <c r="B584" s="87" t="s">
        <v>435</v>
      </c>
      <c r="C584" s="87" t="s">
        <v>4620</v>
      </c>
      <c r="D584" s="89">
        <v>94259.05</v>
      </c>
      <c r="E584" s="89"/>
      <c r="F584" s="89"/>
      <c r="G584" s="87" t="str">
        <f t="shared" si="9"/>
        <v>213110400'= CONTAS A PAGAR CREDORES NACIONAIS02288055000174</v>
      </c>
      <c r="H584" s="87" t="str">
        <f>VLOOKUP(Tabela1[[#This Row],[CONCATENAR]],'Classificações - Demonstrações'!$A$5:$C$46003,2,)</f>
        <v>Fornecedores</v>
      </c>
      <c r="I584" s="87"/>
    </row>
    <row r="585" spans="1:9" ht="12.75" customHeight="1" x14ac:dyDescent="0.2">
      <c r="A585" s="94" t="s">
        <v>5323</v>
      </c>
      <c r="B585" s="87" t="s">
        <v>435</v>
      </c>
      <c r="C585" s="87" t="s">
        <v>6024</v>
      </c>
      <c r="D585" s="89">
        <v>34348.199999999997</v>
      </c>
      <c r="E585" s="89"/>
      <c r="F585" s="89"/>
      <c r="G585" s="87" t="str">
        <f t="shared" si="9"/>
        <v>213110400'= CONTAS A PAGAR CREDORES NACIONAIS02421421000111</v>
      </c>
      <c r="H585" s="87" t="str">
        <f>VLOOKUP(Tabela1[[#This Row],[CONCATENAR]],'Classificações - Demonstrações'!$A$5:$C$46003,2,)</f>
        <v>Fornecedores</v>
      </c>
      <c r="I585" s="87"/>
    </row>
    <row r="586" spans="1:9" ht="12.75" customHeight="1" x14ac:dyDescent="0.2">
      <c r="A586" s="94" t="s">
        <v>5323</v>
      </c>
      <c r="B586" s="87" t="s">
        <v>435</v>
      </c>
      <c r="C586" s="87" t="s">
        <v>6025</v>
      </c>
      <c r="D586" s="89">
        <v>0</v>
      </c>
      <c r="E586" s="88"/>
      <c r="F586" s="88"/>
      <c r="G586" s="87" t="str">
        <f t="shared" si="9"/>
        <v>213110400'= CONTAS A PAGAR CREDORES NACIONAIS02887124000328</v>
      </c>
      <c r="H586" s="87" t="str">
        <f>VLOOKUP(Tabela1[[#This Row],[CONCATENAR]],'Classificações - Demonstrações'!$A$5:$C$46003,2,)</f>
        <v>Fornecedores</v>
      </c>
      <c r="I586" s="87"/>
    </row>
    <row r="587" spans="1:9" ht="12.75" customHeight="1" x14ac:dyDescent="0.2">
      <c r="A587" s="94" t="s">
        <v>5323</v>
      </c>
      <c r="B587" s="87" t="s">
        <v>435</v>
      </c>
      <c r="C587" s="87" t="s">
        <v>6026</v>
      </c>
      <c r="D587" s="88">
        <v>37020.370000000003</v>
      </c>
      <c r="E587" s="89"/>
      <c r="F587" s="89"/>
      <c r="G587" s="87" t="str">
        <f t="shared" si="9"/>
        <v>213110400'= CONTAS A PAGAR CREDORES NACIONAIS02935467000159</v>
      </c>
      <c r="H587" s="87" t="str">
        <f>VLOOKUP(Tabela1[[#This Row],[CONCATENAR]],'Classificações - Demonstrações'!$A$5:$C$46003,2,)</f>
        <v>Fornecedores</v>
      </c>
      <c r="I587" s="87"/>
    </row>
    <row r="588" spans="1:9" ht="12.75" customHeight="1" x14ac:dyDescent="0.2">
      <c r="A588" s="94" t="s">
        <v>5323</v>
      </c>
      <c r="B588" s="87" t="s">
        <v>435</v>
      </c>
      <c r="C588" s="87" t="s">
        <v>6027</v>
      </c>
      <c r="D588" s="89">
        <v>6000</v>
      </c>
      <c r="E588" s="88"/>
      <c r="F588" s="88"/>
      <c r="G588" s="87" t="str">
        <f t="shared" si="9"/>
        <v>213110400'= CONTAS A PAGAR CREDORES NACIONAIS03020839000180</v>
      </c>
      <c r="H588" s="87" t="str">
        <f>VLOOKUP(Tabela1[[#This Row],[CONCATENAR]],'Classificações - Demonstrações'!$A$5:$C$46003,2,)</f>
        <v>Fornecedores</v>
      </c>
      <c r="I588" s="87"/>
    </row>
    <row r="589" spans="1:9" ht="12.75" customHeight="1" x14ac:dyDescent="0.2">
      <c r="A589" s="94" t="s">
        <v>5323</v>
      </c>
      <c r="B589" s="87" t="s">
        <v>435</v>
      </c>
      <c r="C589" s="87" t="s">
        <v>6028</v>
      </c>
      <c r="D589" s="88">
        <v>42368.55</v>
      </c>
      <c r="E589" s="89"/>
      <c r="F589" s="89"/>
      <c r="G589" s="87" t="str">
        <f t="shared" si="9"/>
        <v>213110400'= CONTAS A PAGAR CREDORES NACIONAIS03117534000190</v>
      </c>
      <c r="H589" s="87" t="str">
        <f>VLOOKUP(Tabela1[[#This Row],[CONCATENAR]],'Classificações - Demonstrações'!$A$5:$C$46003,2,)</f>
        <v>Fornecedores</v>
      </c>
      <c r="I589" s="87"/>
    </row>
    <row r="590" spans="1:9" ht="12.75" customHeight="1" x14ac:dyDescent="0.2">
      <c r="A590" s="94" t="s">
        <v>5323</v>
      </c>
      <c r="B590" s="87" t="s">
        <v>435</v>
      </c>
      <c r="C590" s="87" t="s">
        <v>5664</v>
      </c>
      <c r="D590" s="88">
        <v>200000</v>
      </c>
      <c r="E590" s="89"/>
      <c r="F590" s="89"/>
      <c r="G590" s="87" t="str">
        <f t="shared" si="9"/>
        <v>213110400'= CONTAS A PAGAR CREDORES NACIONAIS03170027000110</v>
      </c>
      <c r="H590" s="87" t="str">
        <f>VLOOKUP(Tabela1[[#This Row],[CONCATENAR]],'Classificações - Demonstrações'!$A$5:$C$46003,2,)</f>
        <v>Fornecedores</v>
      </c>
      <c r="I590" s="87"/>
    </row>
    <row r="591" spans="1:9" ht="12.75" customHeight="1" x14ac:dyDescent="0.2">
      <c r="A591" s="94" t="s">
        <v>5323</v>
      </c>
      <c r="B591" s="87" t="s">
        <v>435</v>
      </c>
      <c r="C591" s="87" t="s">
        <v>6029</v>
      </c>
      <c r="D591" s="89">
        <v>28138.5</v>
      </c>
      <c r="E591" s="88"/>
      <c r="F591" s="88"/>
      <c r="G591" s="87" t="str">
        <f t="shared" si="9"/>
        <v>213110400'= CONTAS A PAGAR CREDORES NACIONAIS03237583006440</v>
      </c>
      <c r="H591" s="87" t="str">
        <f>VLOOKUP(Tabela1[[#This Row],[CONCATENAR]],'Classificações - Demonstrações'!$A$5:$C$46003,2,)</f>
        <v>Fornecedores</v>
      </c>
      <c r="I591" s="87"/>
    </row>
    <row r="592" spans="1:9" ht="12.75" customHeight="1" x14ac:dyDescent="0.2">
      <c r="A592" s="94" t="s">
        <v>5323</v>
      </c>
      <c r="B592" s="87" t="s">
        <v>435</v>
      </c>
      <c r="C592" s="87" t="s">
        <v>6030</v>
      </c>
      <c r="D592" s="88">
        <v>0</v>
      </c>
      <c r="E592" s="89"/>
      <c r="F592" s="89"/>
      <c r="G592" s="87" t="str">
        <f t="shared" si="9"/>
        <v>213110400'= CONTAS A PAGAR CREDORES NACIONAIS03251714000160</v>
      </c>
      <c r="H592" s="87" t="str">
        <f>VLOOKUP(Tabela1[[#This Row],[CONCATENAR]],'Classificações - Demonstrações'!$A$5:$C$46003,2,)</f>
        <v>Fornecedores</v>
      </c>
      <c r="I592" s="87"/>
    </row>
    <row r="593" spans="1:9" ht="12.75" customHeight="1" x14ac:dyDescent="0.2">
      <c r="A593" s="94" t="s">
        <v>5323</v>
      </c>
      <c r="B593" s="87" t="s">
        <v>435</v>
      </c>
      <c r="C593" s="87" t="s">
        <v>437</v>
      </c>
      <c r="D593" s="88">
        <v>11698.77</v>
      </c>
      <c r="E593" s="89"/>
      <c r="F593" s="89"/>
      <c r="G593" s="87" t="str">
        <f t="shared" si="9"/>
        <v>213110400'= CONTAS A PAGAR CREDORES NACIONAIS03279285000130</v>
      </c>
      <c r="H593" s="87" t="str">
        <f>VLOOKUP(Tabela1[[#This Row],[CONCATENAR]],'Classificações - Demonstrações'!$A$5:$C$46003,2,)</f>
        <v>Fornecedores</v>
      </c>
      <c r="I593" s="87"/>
    </row>
    <row r="594" spans="1:9" ht="12.75" customHeight="1" x14ac:dyDescent="0.2">
      <c r="A594" s="94" t="s">
        <v>5323</v>
      </c>
      <c r="B594" s="87" t="s">
        <v>435</v>
      </c>
      <c r="C594" s="87" t="s">
        <v>6031</v>
      </c>
      <c r="D594" s="89">
        <v>10897.28</v>
      </c>
      <c r="E594" s="88"/>
      <c r="F594" s="88"/>
      <c r="G594" s="87" t="str">
        <f t="shared" si="9"/>
        <v>213110400'= CONTAS A PAGAR CREDORES NACIONAIS03578224000173</v>
      </c>
      <c r="H594" s="87" t="str">
        <f>VLOOKUP(Tabela1[[#This Row],[CONCATENAR]],'Classificações - Demonstrações'!$A$5:$C$46003,2,)</f>
        <v>Fornecedores</v>
      </c>
      <c r="I594" s="87"/>
    </row>
    <row r="595" spans="1:9" ht="12.75" customHeight="1" x14ac:dyDescent="0.2">
      <c r="A595" s="94" t="s">
        <v>5323</v>
      </c>
      <c r="B595" s="87" t="s">
        <v>435</v>
      </c>
      <c r="C595" s="87" t="s">
        <v>6032</v>
      </c>
      <c r="D595" s="89">
        <v>13400.4</v>
      </c>
      <c r="E595" s="88"/>
      <c r="F595" s="88"/>
      <c r="G595" s="87" t="str">
        <f t="shared" si="9"/>
        <v>213110400'= CONTAS A PAGAR CREDORES NACIONAIS03750757000190</v>
      </c>
      <c r="H595" s="87" t="str">
        <f>VLOOKUP(Tabela1[[#This Row],[CONCATENAR]],'Classificações - Demonstrações'!$A$5:$C$46003,2,)</f>
        <v>Fornecedores</v>
      </c>
      <c r="I595" s="87"/>
    </row>
    <row r="596" spans="1:9" ht="12.75" customHeight="1" x14ac:dyDescent="0.2">
      <c r="A596" s="94" t="s">
        <v>5323</v>
      </c>
      <c r="B596" s="87" t="s">
        <v>435</v>
      </c>
      <c r="C596" s="87" t="s">
        <v>6033</v>
      </c>
      <c r="D596" s="89">
        <v>0</v>
      </c>
      <c r="E596" s="88"/>
      <c r="F596" s="88"/>
      <c r="G596" s="87" t="str">
        <f t="shared" si="9"/>
        <v>213110400'= CONTAS A PAGAR CREDORES NACIONAIS03773700008353</v>
      </c>
      <c r="H596" s="87" t="str">
        <f>VLOOKUP(Tabela1[[#This Row],[CONCATENAR]],'Classificações - Demonstrações'!$A$5:$C$46003,2,)</f>
        <v>Fornecedores</v>
      </c>
      <c r="I596" s="87"/>
    </row>
    <row r="597" spans="1:9" ht="12.75" customHeight="1" x14ac:dyDescent="0.2">
      <c r="A597" s="94" t="s">
        <v>5323</v>
      </c>
      <c r="B597" s="87" t="s">
        <v>435</v>
      </c>
      <c r="C597" s="87" t="s">
        <v>6034</v>
      </c>
      <c r="D597" s="89">
        <v>77999.990000000005</v>
      </c>
      <c r="E597" s="88"/>
      <c r="F597" s="88"/>
      <c r="G597" s="87" t="str">
        <f t="shared" si="9"/>
        <v>213110400'= CONTAS A PAGAR CREDORES NACIONAIS03958504000107</v>
      </c>
      <c r="H597" s="87" t="str">
        <f>VLOOKUP(Tabela1[[#This Row],[CONCATENAR]],'Classificações - Demonstrações'!$A$5:$C$46003,2,)</f>
        <v>Fornecedores</v>
      </c>
      <c r="I597" s="87"/>
    </row>
    <row r="598" spans="1:9" ht="12.75" customHeight="1" x14ac:dyDescent="0.2">
      <c r="A598" s="94" t="s">
        <v>5323</v>
      </c>
      <c r="B598" s="87" t="s">
        <v>435</v>
      </c>
      <c r="C598" s="87" t="s">
        <v>6035</v>
      </c>
      <c r="D598" s="89">
        <v>131529</v>
      </c>
      <c r="E598" s="88"/>
      <c r="F598" s="88"/>
      <c r="G598" s="87" t="str">
        <f t="shared" si="9"/>
        <v>213110400'= CONTAS A PAGAR CREDORES NACIONAIS04117852000386</v>
      </c>
      <c r="H598" s="87" t="str">
        <f>VLOOKUP(Tabela1[[#This Row],[CONCATENAR]],'Classificações - Demonstrações'!$A$5:$C$46003,2,)</f>
        <v>Fornecedores</v>
      </c>
      <c r="I598" s="87"/>
    </row>
    <row r="599" spans="1:9" ht="12.75" customHeight="1" x14ac:dyDescent="0.2">
      <c r="A599" s="94" t="s">
        <v>5323</v>
      </c>
      <c r="B599" s="87" t="s">
        <v>435</v>
      </c>
      <c r="C599" s="87" t="s">
        <v>6036</v>
      </c>
      <c r="D599" s="89">
        <v>3000</v>
      </c>
      <c r="E599" s="88"/>
      <c r="F599" s="88"/>
      <c r="G599" s="87" t="str">
        <f t="shared" si="9"/>
        <v>213110400'= CONTAS A PAGAR CREDORES NACIONAIS04127856000183</v>
      </c>
      <c r="H599" s="87" t="str">
        <f>VLOOKUP(Tabela1[[#This Row],[CONCATENAR]],'Classificações - Demonstrações'!$A$5:$C$46003,2,)</f>
        <v>Fornecedores</v>
      </c>
      <c r="I599" s="87"/>
    </row>
    <row r="600" spans="1:9" ht="12.75" customHeight="1" x14ac:dyDescent="0.2">
      <c r="A600" s="94" t="s">
        <v>5323</v>
      </c>
      <c r="B600" s="87" t="s">
        <v>435</v>
      </c>
      <c r="C600" s="87" t="s">
        <v>6037</v>
      </c>
      <c r="D600" s="89">
        <v>0</v>
      </c>
      <c r="E600" s="89"/>
      <c r="F600" s="89"/>
      <c r="G600" s="87" t="str">
        <f t="shared" si="9"/>
        <v>213110400'= CONTAS A PAGAR CREDORES NACIONAIS04298309000756</v>
      </c>
      <c r="H600" s="87" t="str">
        <f>VLOOKUP(Tabela1[[#This Row],[CONCATENAR]],'Classificações - Demonstrações'!$A$5:$C$46003,2,)</f>
        <v>Fornecedores</v>
      </c>
      <c r="I600" s="87"/>
    </row>
    <row r="601" spans="1:9" ht="12.75" customHeight="1" x14ac:dyDescent="0.2">
      <c r="A601" s="94" t="s">
        <v>5323</v>
      </c>
      <c r="B601" s="87" t="s">
        <v>435</v>
      </c>
      <c r="C601" s="87" t="s">
        <v>6038</v>
      </c>
      <c r="D601" s="88">
        <v>0</v>
      </c>
      <c r="E601" s="89"/>
      <c r="F601" s="89"/>
      <c r="G601" s="87" t="str">
        <f t="shared" si="9"/>
        <v>213110400'= CONTAS A PAGAR CREDORES NACIONAIS04565030000104</v>
      </c>
      <c r="H601" s="87" t="str">
        <f>VLOOKUP(Tabela1[[#This Row],[CONCATENAR]],'Classificações - Demonstrações'!$A$5:$C$46003,2,)</f>
        <v>Fornecedores</v>
      </c>
      <c r="I601" s="87"/>
    </row>
    <row r="602" spans="1:9" ht="12.75" customHeight="1" x14ac:dyDescent="0.2">
      <c r="A602" s="94" t="s">
        <v>5323</v>
      </c>
      <c r="B602" s="87" t="s">
        <v>435</v>
      </c>
      <c r="C602" s="87" t="s">
        <v>6039</v>
      </c>
      <c r="D602" s="88">
        <v>1050000</v>
      </c>
      <c r="E602" s="89"/>
      <c r="F602" s="89"/>
      <c r="G602" s="87" t="str">
        <f t="shared" si="9"/>
        <v>213110400'= CONTAS A PAGAR CREDORES NACIONAIS04602789000101</v>
      </c>
      <c r="H602" s="87" t="str">
        <f>VLOOKUP(Tabela1[[#This Row],[CONCATENAR]],'Classificações - Demonstrações'!$A$5:$C$46003,2,)</f>
        <v>Fornecedores</v>
      </c>
      <c r="I602" s="87"/>
    </row>
    <row r="603" spans="1:9" ht="12.75" customHeight="1" x14ac:dyDescent="0.2">
      <c r="A603" s="94" t="s">
        <v>5323</v>
      </c>
      <c r="B603" s="87" t="s">
        <v>435</v>
      </c>
      <c r="C603" s="87" t="s">
        <v>6040</v>
      </c>
      <c r="D603" s="88">
        <v>28980</v>
      </c>
      <c r="E603" s="89"/>
      <c r="F603" s="89"/>
      <c r="G603" s="87" t="str">
        <f t="shared" si="9"/>
        <v>213110400'= CONTAS A PAGAR CREDORES NACIONAIS04889792000158</v>
      </c>
      <c r="H603" s="87" t="str">
        <f>VLOOKUP(Tabela1[[#This Row],[CONCATENAR]],'Classificações - Demonstrações'!$A$5:$C$46003,2,)</f>
        <v>Fornecedores</v>
      </c>
      <c r="I603" s="87"/>
    </row>
    <row r="604" spans="1:9" ht="12.75" customHeight="1" x14ac:dyDescent="0.2">
      <c r="A604" s="94" t="s">
        <v>5323</v>
      </c>
      <c r="B604" s="87" t="s">
        <v>435</v>
      </c>
      <c r="C604" s="87" t="s">
        <v>6041</v>
      </c>
      <c r="D604" s="89">
        <v>113717.15</v>
      </c>
      <c r="E604" s="89"/>
      <c r="F604" s="89"/>
      <c r="G604" s="87" t="str">
        <f t="shared" si="9"/>
        <v>213110400'= CONTAS A PAGAR CREDORES NACIONAIS04931019000293</v>
      </c>
      <c r="H604" s="87" t="str">
        <f>VLOOKUP(Tabela1[[#This Row],[CONCATENAR]],'Classificações - Demonstrações'!$A$5:$C$46003,2,)</f>
        <v>Fornecedores</v>
      </c>
      <c r="I604" s="87"/>
    </row>
    <row r="605" spans="1:9" ht="12.75" customHeight="1" x14ac:dyDescent="0.2">
      <c r="A605" s="94" t="s">
        <v>5323</v>
      </c>
      <c r="B605" s="87" t="s">
        <v>435</v>
      </c>
      <c r="C605" s="87" t="s">
        <v>6042</v>
      </c>
      <c r="D605" s="89">
        <v>323556.28999999998</v>
      </c>
      <c r="E605" s="89"/>
      <c r="F605" s="89"/>
      <c r="G605" s="87" t="str">
        <f t="shared" si="9"/>
        <v>213110400'= CONTAS A PAGAR CREDORES NACIONAIS05017000000118</v>
      </c>
      <c r="H605" s="87" t="str">
        <f>VLOOKUP(Tabela1[[#This Row],[CONCATENAR]],'Classificações - Demonstrações'!$A$5:$C$46003,2,)</f>
        <v>Fornecedores</v>
      </c>
      <c r="I605" s="87"/>
    </row>
    <row r="606" spans="1:9" ht="12.75" customHeight="1" x14ac:dyDescent="0.2">
      <c r="A606" s="94" t="s">
        <v>5323</v>
      </c>
      <c r="B606" s="87" t="s">
        <v>435</v>
      </c>
      <c r="C606" s="87" t="s">
        <v>6043</v>
      </c>
      <c r="D606" s="89">
        <v>0</v>
      </c>
      <c r="E606" s="89"/>
      <c r="F606" s="89"/>
      <c r="G606" s="87" t="str">
        <f t="shared" si="9"/>
        <v>213110400'= CONTAS A PAGAR CREDORES NACIONAIS05250796000154</v>
      </c>
      <c r="H606" s="87" t="str">
        <f>VLOOKUP(Tabela1[[#This Row],[CONCATENAR]],'Classificações - Demonstrações'!$A$5:$C$46003,2,)</f>
        <v>Fornecedores</v>
      </c>
      <c r="I606" s="87"/>
    </row>
    <row r="607" spans="1:9" ht="12.75" customHeight="1" x14ac:dyDescent="0.2">
      <c r="A607" s="94" t="s">
        <v>5323</v>
      </c>
      <c r="B607" s="87" t="s">
        <v>435</v>
      </c>
      <c r="C607" s="87" t="s">
        <v>6044</v>
      </c>
      <c r="D607" s="89">
        <v>3000</v>
      </c>
      <c r="E607" s="89"/>
      <c r="F607" s="89"/>
      <c r="G607" s="87" t="str">
        <f t="shared" si="9"/>
        <v>213110400'= CONTAS A PAGAR CREDORES NACIONAIS05295679000107</v>
      </c>
      <c r="H607" s="87" t="str">
        <f>VLOOKUP(Tabela1[[#This Row],[CONCATENAR]],'Classificações - Demonstrações'!$A$5:$C$46003,2,)</f>
        <v>Fornecedores</v>
      </c>
      <c r="I607" s="87"/>
    </row>
    <row r="608" spans="1:9" ht="12.75" customHeight="1" x14ac:dyDescent="0.2">
      <c r="A608" s="94" t="s">
        <v>5323</v>
      </c>
      <c r="B608" s="87" t="s">
        <v>435</v>
      </c>
      <c r="C608" s="87" t="s">
        <v>5775</v>
      </c>
      <c r="D608" s="89">
        <v>11059.16</v>
      </c>
      <c r="E608" s="89"/>
      <c r="F608" s="89"/>
      <c r="G608" s="87" t="str">
        <f t="shared" si="9"/>
        <v>213110400'= CONTAS A PAGAR CREDORES NACIONAIS05340639000130</v>
      </c>
      <c r="H608" s="87" t="str">
        <f>VLOOKUP(Tabela1[[#This Row],[CONCATENAR]],'Classificações - Demonstrações'!$A$5:$C$46003,2,)</f>
        <v>Fornecedores</v>
      </c>
      <c r="I608" s="87"/>
    </row>
    <row r="609" spans="1:9" ht="12.75" customHeight="1" x14ac:dyDescent="0.2">
      <c r="A609" s="94" t="s">
        <v>5323</v>
      </c>
      <c r="B609" s="87" t="s">
        <v>435</v>
      </c>
      <c r="C609" s="87" t="s">
        <v>6045</v>
      </c>
      <c r="D609" s="88">
        <v>0</v>
      </c>
      <c r="E609" s="89"/>
      <c r="F609" s="89"/>
      <c r="G609" s="87" t="str">
        <f t="shared" si="9"/>
        <v>213110400'= CONTAS A PAGAR CREDORES NACIONAIS05538148000106</v>
      </c>
      <c r="H609" s="87" t="str">
        <f>VLOOKUP(Tabela1[[#This Row],[CONCATENAR]],'Classificações - Demonstrações'!$A$5:$C$46003,2,)</f>
        <v>Fornecedores</v>
      </c>
      <c r="I609" s="87"/>
    </row>
    <row r="610" spans="1:9" ht="12.75" customHeight="1" x14ac:dyDescent="0.2">
      <c r="A610" s="94" t="s">
        <v>5323</v>
      </c>
      <c r="B610" s="87" t="s">
        <v>435</v>
      </c>
      <c r="C610" s="87" t="s">
        <v>6046</v>
      </c>
      <c r="D610" s="89">
        <v>34000</v>
      </c>
      <c r="E610" s="89"/>
      <c r="F610" s="89"/>
      <c r="G610" s="87" t="str">
        <f t="shared" si="9"/>
        <v>213110400'= CONTAS A PAGAR CREDORES NACIONAIS05573756000143</v>
      </c>
      <c r="H610" s="87" t="str">
        <f>VLOOKUP(Tabela1[[#This Row],[CONCATENAR]],'Classificações - Demonstrações'!$A$5:$C$46003,2,)</f>
        <v>Fornecedores</v>
      </c>
      <c r="I610" s="87"/>
    </row>
    <row r="611" spans="1:9" ht="12.75" customHeight="1" x14ac:dyDescent="0.2">
      <c r="A611" s="94" t="s">
        <v>5323</v>
      </c>
      <c r="B611" s="87" t="s">
        <v>435</v>
      </c>
      <c r="C611" s="87" t="s">
        <v>5556</v>
      </c>
      <c r="D611" s="89">
        <v>550417.23</v>
      </c>
      <c r="E611" s="89"/>
      <c r="F611" s="89"/>
      <c r="G611" s="87" t="str">
        <f t="shared" si="9"/>
        <v>213110400'= CONTAS A PAGAR CREDORES NACIONAIS05603740000136</v>
      </c>
      <c r="H611" s="87" t="str">
        <f>VLOOKUP(Tabela1[[#This Row],[CONCATENAR]],'Classificações - Demonstrações'!$A$5:$C$46003,2,)</f>
        <v>Fornecedores</v>
      </c>
      <c r="I611" s="87"/>
    </row>
    <row r="612" spans="1:9" ht="12.75" customHeight="1" x14ac:dyDescent="0.2">
      <c r="A612" s="94" t="s">
        <v>5323</v>
      </c>
      <c r="B612" s="87" t="s">
        <v>435</v>
      </c>
      <c r="C612" s="87" t="s">
        <v>6047</v>
      </c>
      <c r="D612" s="89">
        <v>7046.66</v>
      </c>
      <c r="E612" s="88"/>
      <c r="F612" s="88"/>
      <c r="G612" s="87" t="str">
        <f t="shared" si="9"/>
        <v>213110400'= CONTAS A PAGAR CREDORES NACIONAIS05872814000300</v>
      </c>
      <c r="H612" s="87" t="str">
        <f>VLOOKUP(Tabela1[[#This Row],[CONCATENAR]],'Classificações - Demonstrações'!$A$5:$C$46003,2,)</f>
        <v>Fornecedores</v>
      </c>
      <c r="I612" s="87"/>
    </row>
    <row r="613" spans="1:9" ht="12.75" customHeight="1" x14ac:dyDescent="0.2">
      <c r="A613" s="94" t="s">
        <v>5323</v>
      </c>
      <c r="B613" s="87" t="s">
        <v>435</v>
      </c>
      <c r="C613" s="87" t="s">
        <v>6048</v>
      </c>
      <c r="D613" s="89">
        <v>0</v>
      </c>
      <c r="E613" s="89"/>
      <c r="F613" s="89"/>
      <c r="G613" s="87" t="str">
        <f t="shared" si="9"/>
        <v>213110400'= CONTAS A PAGAR CREDORES NACIONAIS06034135000154</v>
      </c>
      <c r="H613" s="87" t="str">
        <f>VLOOKUP(Tabela1[[#This Row],[CONCATENAR]],'Classificações - Demonstrações'!$A$5:$C$46003,2,)</f>
        <v>Fornecedores</v>
      </c>
      <c r="I613" s="87"/>
    </row>
    <row r="614" spans="1:9" ht="12.75" customHeight="1" x14ac:dyDescent="0.2">
      <c r="A614" s="94" t="s">
        <v>5323</v>
      </c>
      <c r="B614" s="87" t="s">
        <v>435</v>
      </c>
      <c r="C614" s="87" t="s">
        <v>6049</v>
      </c>
      <c r="D614" s="89">
        <v>38800</v>
      </c>
      <c r="E614" s="89"/>
      <c r="F614" s="89"/>
      <c r="G614" s="87" t="str">
        <f t="shared" si="9"/>
        <v>213110400'= CONTAS A PAGAR CREDORES NACIONAIS06118361000385</v>
      </c>
      <c r="H614" s="87" t="str">
        <f>VLOOKUP(Tabela1[[#This Row],[CONCATENAR]],'Classificações - Demonstrações'!$A$5:$C$46003,2,)</f>
        <v>Fornecedores</v>
      </c>
      <c r="I614" s="87"/>
    </row>
    <row r="615" spans="1:9" ht="12.75" customHeight="1" x14ac:dyDescent="0.2">
      <c r="A615" s="94" t="s">
        <v>5323</v>
      </c>
      <c r="B615" s="87" t="s">
        <v>435</v>
      </c>
      <c r="C615" s="87" t="s">
        <v>6050</v>
      </c>
      <c r="D615" s="88">
        <v>17995.5</v>
      </c>
      <c r="E615" s="89"/>
      <c r="F615" s="89"/>
      <c r="G615" s="87" t="str">
        <f t="shared" si="9"/>
        <v>213110400'= CONTAS A PAGAR CREDORES NACIONAIS06132270000132</v>
      </c>
      <c r="H615" s="87" t="str">
        <f>VLOOKUP(Tabela1[[#This Row],[CONCATENAR]],'Classificações - Demonstrações'!$A$5:$C$46003,2,)</f>
        <v>Fornecedores</v>
      </c>
      <c r="I615" s="87"/>
    </row>
    <row r="616" spans="1:9" ht="12.75" customHeight="1" x14ac:dyDescent="0.2">
      <c r="A616" s="94" t="s">
        <v>5323</v>
      </c>
      <c r="B616" s="87" t="s">
        <v>435</v>
      </c>
      <c r="C616" s="87" t="s">
        <v>6051</v>
      </c>
      <c r="D616" s="88">
        <v>27000.06</v>
      </c>
      <c r="E616" s="89"/>
      <c r="F616" s="89"/>
      <c r="G616" s="87" t="str">
        <f t="shared" si="9"/>
        <v>213110400'= CONTAS A PAGAR CREDORES NACIONAIS06913480001806</v>
      </c>
      <c r="H616" s="87" t="str">
        <f>VLOOKUP(Tabela1[[#This Row],[CONCATENAR]],'Classificações - Demonstrações'!$A$5:$C$46003,2,)</f>
        <v>Fornecedores</v>
      </c>
      <c r="I616" s="87"/>
    </row>
    <row r="617" spans="1:9" ht="12.75" customHeight="1" x14ac:dyDescent="0.2">
      <c r="A617" s="94" t="s">
        <v>5323</v>
      </c>
      <c r="B617" s="87" t="s">
        <v>435</v>
      </c>
      <c r="C617" s="87" t="s">
        <v>5665</v>
      </c>
      <c r="D617" s="89">
        <v>234240.39</v>
      </c>
      <c r="E617" s="89"/>
      <c r="F617" s="89"/>
      <c r="G617" s="87" t="str">
        <f t="shared" si="9"/>
        <v>213110400'= CONTAS A PAGAR CREDORES NACIONAIS07028841000156</v>
      </c>
      <c r="H617" s="87" t="str">
        <f>VLOOKUP(Tabela1[[#This Row],[CONCATENAR]],'Classificações - Demonstrações'!$A$5:$C$46003,2,)</f>
        <v>Fornecedores</v>
      </c>
      <c r="I617" s="87"/>
    </row>
    <row r="618" spans="1:9" ht="12.75" customHeight="1" x14ac:dyDescent="0.2">
      <c r="A618" s="94" t="s">
        <v>5323</v>
      </c>
      <c r="B618" s="87" t="s">
        <v>435</v>
      </c>
      <c r="C618" s="87" t="s">
        <v>6052</v>
      </c>
      <c r="D618" s="89">
        <v>51348</v>
      </c>
      <c r="E618" s="89"/>
      <c r="F618" s="89"/>
      <c r="G618" s="87" t="str">
        <f t="shared" si="9"/>
        <v>213110400'= CONTAS A PAGAR CREDORES NACIONAIS07072293000161</v>
      </c>
      <c r="H618" s="87" t="str">
        <f>VLOOKUP(Tabela1[[#This Row],[CONCATENAR]],'Classificações - Demonstrações'!$A$5:$C$46003,2,)</f>
        <v>Fornecedores</v>
      </c>
      <c r="I618" s="87"/>
    </row>
    <row r="619" spans="1:9" ht="12.75" customHeight="1" x14ac:dyDescent="0.2">
      <c r="A619" s="94" t="s">
        <v>5323</v>
      </c>
      <c r="B619" s="87" t="s">
        <v>435</v>
      </c>
      <c r="C619" s="87" t="s">
        <v>6053</v>
      </c>
      <c r="D619" s="89">
        <v>7500.55</v>
      </c>
      <c r="E619" s="89"/>
      <c r="F619" s="89"/>
      <c r="G619" s="87" t="str">
        <f t="shared" si="9"/>
        <v>213110400'= CONTAS A PAGAR CREDORES NACIONAIS07465373000187</v>
      </c>
      <c r="H619" s="87" t="str">
        <f>VLOOKUP(Tabela1[[#This Row],[CONCATENAR]],'Classificações - Demonstrações'!$A$5:$C$46003,2,)</f>
        <v>Fornecedores</v>
      </c>
      <c r="I619" s="87"/>
    </row>
    <row r="620" spans="1:9" ht="12.75" customHeight="1" x14ac:dyDescent="0.2">
      <c r="A620" s="94" t="s">
        <v>5323</v>
      </c>
      <c r="B620" s="87" t="s">
        <v>435</v>
      </c>
      <c r="C620" s="87" t="s">
        <v>5776</v>
      </c>
      <c r="D620" s="89">
        <v>371567</v>
      </c>
      <c r="E620" s="89"/>
      <c r="F620" s="89"/>
      <c r="G620" s="87" t="str">
        <f t="shared" si="9"/>
        <v>213110400'= CONTAS A PAGAR CREDORES NACIONAIS07470286000118</v>
      </c>
      <c r="H620" s="87" t="str">
        <f>VLOOKUP(Tabela1[[#This Row],[CONCATENAR]],'Classificações - Demonstrações'!$A$5:$C$46003,2,)</f>
        <v>Fornecedores</v>
      </c>
      <c r="I620" s="87"/>
    </row>
    <row r="621" spans="1:9" ht="12.75" customHeight="1" x14ac:dyDescent="0.2">
      <c r="A621" s="94" t="s">
        <v>5323</v>
      </c>
      <c r="B621" s="87" t="s">
        <v>435</v>
      </c>
      <c r="C621" s="87" t="s">
        <v>6054</v>
      </c>
      <c r="D621" s="89">
        <v>210000</v>
      </c>
      <c r="E621" s="89"/>
      <c r="F621" s="89"/>
      <c r="G621" s="87" t="str">
        <f t="shared" si="9"/>
        <v>213110400'= CONTAS A PAGAR CREDORES NACIONAIS07543331000117</v>
      </c>
      <c r="H621" s="87" t="str">
        <f>VLOOKUP(Tabela1[[#This Row],[CONCATENAR]],'Classificações - Demonstrações'!$A$5:$C$46003,2,)</f>
        <v>Fornecedores</v>
      </c>
      <c r="I621" s="87"/>
    </row>
    <row r="622" spans="1:9" ht="12.75" customHeight="1" x14ac:dyDescent="0.2">
      <c r="A622" s="94" t="s">
        <v>5323</v>
      </c>
      <c r="B622" s="87" t="s">
        <v>435</v>
      </c>
      <c r="C622" s="87" t="s">
        <v>6055</v>
      </c>
      <c r="D622" s="89">
        <v>993</v>
      </c>
      <c r="E622" s="89"/>
      <c r="F622" s="89"/>
      <c r="G622" s="87" t="str">
        <f t="shared" si="9"/>
        <v>213110400'= CONTAS A PAGAR CREDORES NACIONAIS07568908000145</v>
      </c>
      <c r="H622" s="87" t="str">
        <f>VLOOKUP(Tabela1[[#This Row],[CONCATENAR]],'Classificações - Demonstrações'!$A$5:$C$46003,2,)</f>
        <v>Fornecedores</v>
      </c>
      <c r="I622" s="87"/>
    </row>
    <row r="623" spans="1:9" ht="12.75" customHeight="1" x14ac:dyDescent="0.2">
      <c r="A623" s="94" t="s">
        <v>5323</v>
      </c>
      <c r="B623" s="87" t="s">
        <v>435</v>
      </c>
      <c r="C623" s="87" t="s">
        <v>6056</v>
      </c>
      <c r="D623" s="89">
        <v>4500</v>
      </c>
      <c r="E623" s="89"/>
      <c r="F623" s="89"/>
      <c r="G623" s="87" t="str">
        <f t="shared" si="9"/>
        <v>213110400'= CONTAS A PAGAR CREDORES NACIONAIS07625852000113</v>
      </c>
      <c r="H623" s="87" t="str">
        <f>VLOOKUP(Tabela1[[#This Row],[CONCATENAR]],'Classificações - Demonstrações'!$A$5:$C$46003,2,)</f>
        <v>Fornecedores</v>
      </c>
      <c r="I623" s="87"/>
    </row>
    <row r="624" spans="1:9" ht="12.75" customHeight="1" x14ac:dyDescent="0.2">
      <c r="A624" s="94" t="s">
        <v>5323</v>
      </c>
      <c r="B624" s="87" t="s">
        <v>435</v>
      </c>
      <c r="C624" s="87" t="s">
        <v>5666</v>
      </c>
      <c r="D624" s="89">
        <v>281419</v>
      </c>
      <c r="E624" s="89"/>
      <c r="F624" s="89"/>
      <c r="G624" s="87" t="str">
        <f t="shared" si="9"/>
        <v>213110400'= CONTAS A PAGAR CREDORES NACIONAIS07710046000143</v>
      </c>
      <c r="H624" s="87" t="str">
        <f>VLOOKUP(Tabela1[[#This Row],[CONCATENAR]],'Classificações - Demonstrações'!$A$5:$C$46003,2,)</f>
        <v>Fornecedores</v>
      </c>
      <c r="I624" s="87"/>
    </row>
    <row r="625" spans="1:9" ht="12.75" customHeight="1" x14ac:dyDescent="0.2">
      <c r="A625" s="94" t="s">
        <v>5323</v>
      </c>
      <c r="B625" s="87" t="s">
        <v>435</v>
      </c>
      <c r="C625" s="87" t="s">
        <v>6057</v>
      </c>
      <c r="D625" s="89">
        <v>423078.54</v>
      </c>
      <c r="E625" s="89"/>
      <c r="F625" s="89"/>
      <c r="G625" s="87" t="str">
        <f t="shared" si="9"/>
        <v>213110400'= CONTAS A PAGAR CREDORES NACIONAIS07906865000160</v>
      </c>
      <c r="H625" s="87" t="str">
        <f>VLOOKUP(Tabela1[[#This Row],[CONCATENAR]],'Classificações - Demonstrações'!$A$5:$C$46003,2,)</f>
        <v>Fornecedores</v>
      </c>
      <c r="I625" s="87"/>
    </row>
    <row r="626" spans="1:9" ht="12.75" customHeight="1" x14ac:dyDescent="0.2">
      <c r="A626" s="94" t="s">
        <v>5323</v>
      </c>
      <c r="B626" s="87" t="s">
        <v>435</v>
      </c>
      <c r="C626" s="87" t="s">
        <v>4536</v>
      </c>
      <c r="D626" s="89">
        <v>376800</v>
      </c>
      <c r="E626" s="89"/>
      <c r="F626" s="89"/>
      <c r="G626" s="87" t="str">
        <f t="shared" si="9"/>
        <v>213110400'= CONTAS A PAGAR CREDORES NACIONAIS08012469000152</v>
      </c>
      <c r="H626" s="87" t="str">
        <f>VLOOKUP(Tabela1[[#This Row],[CONCATENAR]],'Classificações - Demonstrações'!$A$5:$C$46003,2,)</f>
        <v>Fornecedores</v>
      </c>
      <c r="I626" s="87"/>
    </row>
    <row r="627" spans="1:9" ht="12.75" customHeight="1" x14ac:dyDescent="0.2">
      <c r="A627" s="94" t="s">
        <v>5323</v>
      </c>
      <c r="B627" s="87" t="s">
        <v>435</v>
      </c>
      <c r="C627" s="87" t="s">
        <v>5777</v>
      </c>
      <c r="D627" s="89">
        <v>135769.35999999999</v>
      </c>
      <c r="E627" s="89"/>
      <c r="F627" s="89"/>
      <c r="G627" s="87" t="str">
        <f t="shared" si="9"/>
        <v>213110400'= CONTAS A PAGAR CREDORES NACIONAIS08100057000174</v>
      </c>
      <c r="H627" s="87" t="str">
        <f>VLOOKUP(Tabela1[[#This Row],[CONCATENAR]],'Classificações - Demonstrações'!$A$5:$C$46003,2,)</f>
        <v>Fornecedores</v>
      </c>
      <c r="I627" s="87"/>
    </row>
    <row r="628" spans="1:9" ht="12.75" customHeight="1" x14ac:dyDescent="0.2">
      <c r="A628" s="94" t="s">
        <v>5323</v>
      </c>
      <c r="B628" s="87" t="s">
        <v>435</v>
      </c>
      <c r="C628" s="87" t="s">
        <v>6058</v>
      </c>
      <c r="D628" s="88">
        <v>3736.82</v>
      </c>
      <c r="E628" s="89"/>
      <c r="F628" s="89"/>
      <c r="G628" s="87" t="str">
        <f t="shared" si="9"/>
        <v>213110400'= CONTAS A PAGAR CREDORES NACIONAIS08172784000309</v>
      </c>
      <c r="H628" s="87" t="str">
        <f>VLOOKUP(Tabela1[[#This Row],[CONCATENAR]],'Classificações - Demonstrações'!$A$5:$C$46003,2,)</f>
        <v>Fornecedores</v>
      </c>
      <c r="I628" s="87"/>
    </row>
    <row r="629" spans="1:9" ht="12.75" customHeight="1" x14ac:dyDescent="0.2">
      <c r="A629" s="94" t="s">
        <v>5323</v>
      </c>
      <c r="B629" s="87" t="s">
        <v>435</v>
      </c>
      <c r="C629" s="87" t="s">
        <v>293</v>
      </c>
      <c r="D629" s="89">
        <v>0</v>
      </c>
      <c r="E629" s="89"/>
      <c r="F629" s="89"/>
      <c r="G629" s="87" t="str">
        <f t="shared" si="9"/>
        <v>213110400'= CONTAS A PAGAR CREDORES NACIONAIS08237411000107</v>
      </c>
      <c r="H629" s="87" t="str">
        <f>VLOOKUP(Tabela1[[#This Row],[CONCATENAR]],'Classificações - Demonstrações'!$A$5:$C$46003,2,)</f>
        <v>Fornecedores</v>
      </c>
      <c r="I629" s="87"/>
    </row>
    <row r="630" spans="1:9" ht="12.75" customHeight="1" x14ac:dyDescent="0.2">
      <c r="A630" s="94" t="s">
        <v>5323</v>
      </c>
      <c r="B630" s="87" t="s">
        <v>435</v>
      </c>
      <c r="C630" s="87" t="s">
        <v>6059</v>
      </c>
      <c r="D630" s="89">
        <v>0</v>
      </c>
      <c r="E630" s="89"/>
      <c r="F630" s="89"/>
      <c r="G630" s="87" t="str">
        <f t="shared" si="9"/>
        <v>213110400'= CONTAS A PAGAR CREDORES NACIONAIS08400213000112</v>
      </c>
      <c r="H630" s="87" t="str">
        <f>VLOOKUP(Tabela1[[#This Row],[CONCATENAR]],'Classificações - Demonstrações'!$A$5:$C$46003,2,)</f>
        <v>Fornecedores</v>
      </c>
      <c r="I630" s="87"/>
    </row>
    <row r="631" spans="1:9" ht="12.75" customHeight="1" x14ac:dyDescent="0.2">
      <c r="A631" s="94" t="s">
        <v>5323</v>
      </c>
      <c r="B631" s="87" t="s">
        <v>435</v>
      </c>
      <c r="C631" s="87" t="s">
        <v>6060</v>
      </c>
      <c r="D631" s="89">
        <v>73883.539999999994</v>
      </c>
      <c r="E631" s="89"/>
      <c r="F631" s="89"/>
      <c r="G631" s="87" t="str">
        <f t="shared" si="9"/>
        <v>213110400'= CONTAS A PAGAR CREDORES NACIONAIS08561372000107</v>
      </c>
      <c r="H631" s="87" t="str">
        <f>VLOOKUP(Tabela1[[#This Row],[CONCATENAR]],'Classificações - Demonstrações'!$A$5:$C$46003,2,)</f>
        <v>Fornecedores</v>
      </c>
      <c r="I631" s="87"/>
    </row>
    <row r="632" spans="1:9" ht="12.75" customHeight="1" x14ac:dyDescent="0.2">
      <c r="A632" s="94" t="s">
        <v>5323</v>
      </c>
      <c r="B632" s="87" t="s">
        <v>435</v>
      </c>
      <c r="C632" s="87" t="s">
        <v>6061</v>
      </c>
      <c r="D632" s="89">
        <v>0</v>
      </c>
      <c r="E632" s="88"/>
      <c r="F632" s="88"/>
      <c r="G632" s="87" t="str">
        <f t="shared" si="9"/>
        <v>213110400'= CONTAS A PAGAR CREDORES NACIONAIS08689801000118</v>
      </c>
      <c r="H632" s="87" t="str">
        <f>VLOOKUP(Tabela1[[#This Row],[CONCATENAR]],'Classificações - Demonstrações'!$A$5:$C$46003,2,)</f>
        <v>Fornecedores</v>
      </c>
      <c r="I632" s="87"/>
    </row>
    <row r="633" spans="1:9" ht="12.75" customHeight="1" x14ac:dyDescent="0.2">
      <c r="A633" s="94" t="s">
        <v>5323</v>
      </c>
      <c r="B633" s="87" t="s">
        <v>435</v>
      </c>
      <c r="C633" s="87" t="s">
        <v>294</v>
      </c>
      <c r="D633" s="89">
        <v>15581.79</v>
      </c>
      <c r="E633" s="89"/>
      <c r="F633" s="89"/>
      <c r="G633" s="87" t="str">
        <f t="shared" si="9"/>
        <v>213110400'= CONTAS A PAGAR CREDORES NACIONAIS08783191000117</v>
      </c>
      <c r="H633" s="87" t="str">
        <f>VLOOKUP(Tabela1[[#This Row],[CONCATENAR]],'Classificações - Demonstrações'!$A$5:$C$46003,2,)</f>
        <v>Fornecedores</v>
      </c>
      <c r="I633" s="87"/>
    </row>
    <row r="634" spans="1:9" ht="12.75" customHeight="1" x14ac:dyDescent="0.2">
      <c r="A634" s="94" t="s">
        <v>5323</v>
      </c>
      <c r="B634" s="87" t="s">
        <v>435</v>
      </c>
      <c r="C634" s="87" t="s">
        <v>6062</v>
      </c>
      <c r="D634" s="89">
        <v>1852.5</v>
      </c>
      <c r="E634" s="89"/>
      <c r="F634" s="89"/>
      <c r="G634" s="87" t="str">
        <f t="shared" si="9"/>
        <v>213110400'= CONTAS A PAGAR CREDORES NACIONAIS09154735000144</v>
      </c>
      <c r="H634" s="87" t="str">
        <f>VLOOKUP(Tabela1[[#This Row],[CONCATENAR]],'Classificações - Demonstrações'!$A$5:$C$46003,2,)</f>
        <v>Fornecedores</v>
      </c>
      <c r="I634" s="87"/>
    </row>
    <row r="635" spans="1:9" ht="12.75" customHeight="1" x14ac:dyDescent="0.2">
      <c r="A635" s="94" t="s">
        <v>5323</v>
      </c>
      <c r="B635" s="87" t="s">
        <v>435</v>
      </c>
      <c r="C635" s="87" t="s">
        <v>6063</v>
      </c>
      <c r="D635" s="89">
        <v>0</v>
      </c>
      <c r="E635" s="89"/>
      <c r="F635" s="89"/>
      <c r="G635" s="87" t="str">
        <f t="shared" si="9"/>
        <v>213110400'= CONTAS A PAGAR CREDORES NACIONAIS09199793000194</v>
      </c>
      <c r="H635" s="87" t="str">
        <f>VLOOKUP(Tabela1[[#This Row],[CONCATENAR]],'Classificações - Demonstrações'!$A$5:$C$46003,2,)</f>
        <v>Fornecedores</v>
      </c>
      <c r="I635" s="87"/>
    </row>
    <row r="636" spans="1:9" ht="12.75" customHeight="1" x14ac:dyDescent="0.2">
      <c r="A636" s="94" t="s">
        <v>5323</v>
      </c>
      <c r="B636" s="87" t="s">
        <v>435</v>
      </c>
      <c r="C636" s="87" t="s">
        <v>6064</v>
      </c>
      <c r="D636" s="88">
        <v>24934.78</v>
      </c>
      <c r="E636" s="89"/>
      <c r="F636" s="89"/>
      <c r="G636" s="87" t="str">
        <f t="shared" si="9"/>
        <v>213110400'= CONTAS A PAGAR CREDORES NACIONAIS09209275000104</v>
      </c>
      <c r="H636" s="87" t="str">
        <f>VLOOKUP(Tabela1[[#This Row],[CONCATENAR]],'Classificações - Demonstrações'!$A$5:$C$46003,2,)</f>
        <v>Fornecedores</v>
      </c>
      <c r="I636" s="87"/>
    </row>
    <row r="637" spans="1:9" ht="12.75" customHeight="1" x14ac:dyDescent="0.2">
      <c r="A637" s="94" t="s">
        <v>5323</v>
      </c>
      <c r="B637" s="87" t="s">
        <v>435</v>
      </c>
      <c r="C637" s="87" t="s">
        <v>6065</v>
      </c>
      <c r="D637" s="89">
        <v>20000</v>
      </c>
      <c r="E637" s="89"/>
      <c r="F637" s="89"/>
      <c r="G637" s="87" t="str">
        <f t="shared" si="9"/>
        <v>213110400'= CONTAS A PAGAR CREDORES NACIONAIS09362098000100</v>
      </c>
      <c r="H637" s="87" t="str">
        <f>VLOOKUP(Tabela1[[#This Row],[CONCATENAR]],'Classificações - Demonstrações'!$A$5:$C$46003,2,)</f>
        <v>Fornecedores</v>
      </c>
      <c r="I637" s="87"/>
    </row>
    <row r="638" spans="1:9" ht="12.75" customHeight="1" x14ac:dyDescent="0.2">
      <c r="A638" s="94" t="s">
        <v>5323</v>
      </c>
      <c r="B638" s="87" t="s">
        <v>435</v>
      </c>
      <c r="C638" s="87" t="s">
        <v>6066</v>
      </c>
      <c r="D638" s="89">
        <v>2581.1</v>
      </c>
      <c r="E638" s="89"/>
      <c r="F638" s="89"/>
      <c r="G638" s="87" t="str">
        <f t="shared" si="9"/>
        <v>213110400'= CONTAS A PAGAR CREDORES NACIONAIS09452853000139</v>
      </c>
      <c r="H638" s="87" t="str">
        <f>VLOOKUP(Tabela1[[#This Row],[CONCATENAR]],'Classificações - Demonstrações'!$A$5:$C$46003,2,)</f>
        <v>Fornecedores</v>
      </c>
      <c r="I638" s="87"/>
    </row>
    <row r="639" spans="1:9" ht="12.75" customHeight="1" x14ac:dyDescent="0.2">
      <c r="A639" s="94" t="s">
        <v>5323</v>
      </c>
      <c r="B639" s="87" t="s">
        <v>435</v>
      </c>
      <c r="C639" s="87" t="s">
        <v>6067</v>
      </c>
      <c r="D639" s="88">
        <v>0</v>
      </c>
      <c r="E639" s="89"/>
      <c r="F639" s="89"/>
      <c r="G639" s="87" t="str">
        <f t="shared" si="9"/>
        <v>213110400'= CONTAS A PAGAR CREDORES NACIONAIS09622294000168</v>
      </c>
      <c r="H639" s="87" t="str">
        <f>VLOOKUP(Tabela1[[#This Row],[CONCATENAR]],'Classificações - Demonstrações'!$A$5:$C$46003,2,)</f>
        <v>Fornecedores</v>
      </c>
      <c r="I639" s="87"/>
    </row>
    <row r="640" spans="1:9" ht="12.75" customHeight="1" x14ac:dyDescent="0.2">
      <c r="A640" s="94" t="s">
        <v>5323</v>
      </c>
      <c r="B640" s="87" t="s">
        <v>435</v>
      </c>
      <c r="C640" s="87" t="s">
        <v>438</v>
      </c>
      <c r="D640" s="89">
        <v>429.65</v>
      </c>
      <c r="E640" s="89"/>
      <c r="F640" s="89"/>
      <c r="G640" s="87" t="str">
        <f t="shared" si="9"/>
        <v>213110400'= CONTAS A PAGAR CREDORES NACIONAIS100000000000000000000191</v>
      </c>
      <c r="H640" s="87" t="str">
        <f>VLOOKUP(Tabela1[[#This Row],[CONCATENAR]],'Classificações - Demonstrações'!$A$5:$C$46003,2,)</f>
        <v>Fornecedores</v>
      </c>
      <c r="I640" s="87"/>
    </row>
    <row r="641" spans="1:9" ht="12.75" customHeight="1" x14ac:dyDescent="0.2">
      <c r="A641" s="94" t="s">
        <v>5323</v>
      </c>
      <c r="B641" s="87" t="s">
        <v>435</v>
      </c>
      <c r="C641" s="87" t="s">
        <v>6068</v>
      </c>
      <c r="D641" s="89">
        <v>0</v>
      </c>
      <c r="E641" s="89"/>
      <c r="F641" s="89"/>
      <c r="G641" s="87" t="str">
        <f t="shared" si="9"/>
        <v>213110400'= CONTAS A PAGAR CREDORES NACIONAIS100000000000100408000135</v>
      </c>
      <c r="H641" s="87" t="str">
        <f>VLOOKUP(Tabela1[[#This Row],[CONCATENAR]],'Classificações - Demonstrações'!$A$5:$C$46003,2,)</f>
        <v>Fornecedores</v>
      </c>
      <c r="I641" s="87"/>
    </row>
    <row r="642" spans="1:9" ht="12.75" customHeight="1" x14ac:dyDescent="0.2">
      <c r="A642" s="94" t="s">
        <v>5323</v>
      </c>
      <c r="B642" s="87" t="s">
        <v>435</v>
      </c>
      <c r="C642" s="87" t="s">
        <v>6069</v>
      </c>
      <c r="D642" s="89">
        <v>133704.17000000001</v>
      </c>
      <c r="E642" s="89"/>
      <c r="F642" s="89"/>
      <c r="G642" s="87" t="str">
        <f t="shared" si="9"/>
        <v>213110400'= CONTAS A PAGAR CREDORES NACIONAIS100000000000138806000140</v>
      </c>
      <c r="H642" s="87" t="str">
        <f>VLOOKUP(Tabela1[[#This Row],[CONCATENAR]],'Classificações - Demonstrações'!$A$5:$C$46003,2,)</f>
        <v>Fornecedores</v>
      </c>
      <c r="I642" s="87"/>
    </row>
    <row r="643" spans="1:9" ht="12.75" customHeight="1" x14ac:dyDescent="0.2">
      <c r="A643" s="94" t="s">
        <v>5323</v>
      </c>
      <c r="B643" s="87" t="s">
        <v>435</v>
      </c>
      <c r="C643" s="87" t="s">
        <v>6070</v>
      </c>
      <c r="D643" s="89">
        <v>0</v>
      </c>
      <c r="E643" s="89"/>
      <c r="F643" s="89"/>
      <c r="G643" s="87" t="str">
        <f t="shared" si="9"/>
        <v>213110400'= CONTAS A PAGAR CREDORES NACIONAIS100000000000205734000379</v>
      </c>
      <c r="H643" s="87" t="str">
        <f>VLOOKUP(Tabela1[[#This Row],[CONCATENAR]],'Classificações - Demonstrações'!$A$5:$C$46003,2,)</f>
        <v>Fornecedores</v>
      </c>
      <c r="I643" s="87"/>
    </row>
    <row r="644" spans="1:9" ht="12.75" customHeight="1" x14ac:dyDescent="0.2">
      <c r="A644" s="94" t="s">
        <v>5323</v>
      </c>
      <c r="B644" s="87" t="s">
        <v>435</v>
      </c>
      <c r="C644" s="87" t="s">
        <v>439</v>
      </c>
      <c r="D644" s="89">
        <v>0</v>
      </c>
      <c r="E644" s="89"/>
      <c r="F644" s="89"/>
      <c r="G644" s="87" t="str">
        <f t="shared" si="9"/>
        <v>213110400'= CONTAS A PAGAR CREDORES NACIONAIS100000000000331788000623</v>
      </c>
      <c r="H644" s="87" t="str">
        <f>VLOOKUP(Tabela1[[#This Row],[CONCATENAR]],'Classificações - Demonstrações'!$A$5:$C$46003,2,)</f>
        <v>Fornecedores</v>
      </c>
      <c r="I644" s="87"/>
    </row>
    <row r="645" spans="1:9" ht="12.75" customHeight="1" x14ac:dyDescent="0.2">
      <c r="A645" s="94" t="s">
        <v>5323</v>
      </c>
      <c r="B645" s="87" t="s">
        <v>435</v>
      </c>
      <c r="C645" s="87" t="s">
        <v>6071</v>
      </c>
      <c r="D645" s="88">
        <v>0</v>
      </c>
      <c r="E645" s="89"/>
      <c r="F645" s="89"/>
      <c r="G645" s="87" t="str">
        <f t="shared" ref="G645:G708" si="10">CONCATENATE(A645,B645,C645)</f>
        <v>213110400'= CONTAS A PAGAR CREDORES NACIONAIS100000000000398099000121</v>
      </c>
      <c r="H645" s="87" t="str">
        <f>VLOOKUP(Tabela1[[#This Row],[CONCATENAR]],'Classificações - Demonstrações'!$A$5:$C$46003,2,)</f>
        <v>Fornecedores</v>
      </c>
      <c r="I645" s="87"/>
    </row>
    <row r="646" spans="1:9" ht="12.75" customHeight="1" x14ac:dyDescent="0.2">
      <c r="A646" s="94" t="s">
        <v>5323</v>
      </c>
      <c r="B646" s="87" t="s">
        <v>435</v>
      </c>
      <c r="C646" s="87" t="s">
        <v>440</v>
      </c>
      <c r="D646" s="89">
        <v>757</v>
      </c>
      <c r="E646" s="89"/>
      <c r="F646" s="89"/>
      <c r="G646" s="87" t="str">
        <f t="shared" si="10"/>
        <v>213110400'= CONTAS A PAGAR CREDORES NACIONAIS100000000000568594000808</v>
      </c>
      <c r="H646" s="87" t="str">
        <f>VLOOKUP(Tabela1[[#This Row],[CONCATENAR]],'Classificações - Demonstrações'!$A$5:$C$46003,2,)</f>
        <v>Fornecedores</v>
      </c>
      <c r="I646" s="87"/>
    </row>
    <row r="647" spans="1:9" ht="12.75" customHeight="1" x14ac:dyDescent="0.2">
      <c r="A647" s="94" t="s">
        <v>5323</v>
      </c>
      <c r="B647" s="87" t="s">
        <v>435</v>
      </c>
      <c r="C647" s="87" t="s">
        <v>441</v>
      </c>
      <c r="D647" s="89">
        <v>0</v>
      </c>
      <c r="E647" s="89"/>
      <c r="F647" s="89"/>
      <c r="G647" s="87" t="str">
        <f t="shared" si="10"/>
        <v>213110400'= CONTAS A PAGAR CREDORES NACIONAIS100000000000604122000197</v>
      </c>
      <c r="H647" s="87" t="str">
        <f>VLOOKUP(Tabela1[[#This Row],[CONCATENAR]],'Classificações - Demonstrações'!$A$5:$C$46003,2,)</f>
        <v>Fornecedores</v>
      </c>
      <c r="I647" s="87"/>
    </row>
    <row r="648" spans="1:9" ht="12.75" customHeight="1" x14ac:dyDescent="0.2">
      <c r="A648" s="94" t="s">
        <v>5323</v>
      </c>
      <c r="B648" s="87" t="s">
        <v>435</v>
      </c>
      <c r="C648" s="87" t="s">
        <v>442</v>
      </c>
      <c r="D648" s="88">
        <v>9208.1200000000008</v>
      </c>
      <c r="E648" s="89"/>
      <c r="F648" s="89"/>
      <c r="G648" s="87" t="str">
        <f t="shared" si="10"/>
        <v>213110400'= CONTAS A PAGAR CREDORES NACIONAIS100000000000908234000131</v>
      </c>
      <c r="H648" s="87" t="str">
        <f>VLOOKUP(Tabela1[[#This Row],[CONCATENAR]],'Classificações - Demonstrações'!$A$5:$C$46003,2,)</f>
        <v>Fornecedores</v>
      </c>
      <c r="I648" s="87"/>
    </row>
    <row r="649" spans="1:9" ht="12.75" customHeight="1" x14ac:dyDescent="0.2">
      <c r="A649" s="94" t="s">
        <v>5323</v>
      </c>
      <c r="B649" s="87" t="s">
        <v>435</v>
      </c>
      <c r="C649" s="87" t="s">
        <v>4760</v>
      </c>
      <c r="D649" s="89">
        <v>0</v>
      </c>
      <c r="E649" s="89"/>
      <c r="F649" s="89"/>
      <c r="G649" s="87" t="str">
        <f t="shared" si="10"/>
        <v>213110400'= CONTAS A PAGAR CREDORES NACIONAIS100000000000910509000171</v>
      </c>
      <c r="H649" s="87" t="str">
        <f>VLOOKUP(Tabela1[[#This Row],[CONCATENAR]],'Classificações - Demonstrações'!$A$5:$C$46003,2,)</f>
        <v>Fornecedores</v>
      </c>
      <c r="I649" s="87"/>
    </row>
    <row r="650" spans="1:9" ht="12.75" customHeight="1" x14ac:dyDescent="0.2">
      <c r="A650" s="94" t="s">
        <v>5323</v>
      </c>
      <c r="B650" s="87" t="s">
        <v>435</v>
      </c>
      <c r="C650" s="87" t="s">
        <v>6072</v>
      </c>
      <c r="D650" s="89">
        <v>0</v>
      </c>
      <c r="E650" s="89"/>
      <c r="F650" s="89"/>
      <c r="G650" s="87" t="str">
        <f t="shared" si="10"/>
        <v>213110400'= CONTAS A PAGAR CREDORES NACIONAIS100000000000910509000414</v>
      </c>
      <c r="H650" s="87" t="str">
        <f>VLOOKUP(Tabela1[[#This Row],[CONCATENAR]],'Classificações - Demonstrações'!$A$5:$C$46003,2,)</f>
        <v>Fornecedores</v>
      </c>
      <c r="I650" s="87"/>
    </row>
    <row r="651" spans="1:9" ht="12.75" customHeight="1" x14ac:dyDescent="0.2">
      <c r="A651" s="94" t="s">
        <v>5323</v>
      </c>
      <c r="B651" s="87" t="s">
        <v>435</v>
      </c>
      <c r="C651" s="87" t="s">
        <v>6073</v>
      </c>
      <c r="D651" s="88">
        <v>44640</v>
      </c>
      <c r="E651" s="89"/>
      <c r="F651" s="89"/>
      <c r="G651" s="87" t="str">
        <f t="shared" si="10"/>
        <v>213110400'= CONTAS A PAGAR CREDORES NACIONAIS100000000001061021000180</v>
      </c>
      <c r="H651" s="87" t="str">
        <f>VLOOKUP(Tabela1[[#This Row],[CONCATENAR]],'Classificações - Demonstrações'!$A$5:$C$46003,2,)</f>
        <v>Fornecedores</v>
      </c>
      <c r="I651" s="87"/>
    </row>
    <row r="652" spans="1:9" ht="12.75" customHeight="1" x14ac:dyDescent="0.2">
      <c r="A652" s="94" t="s">
        <v>5323</v>
      </c>
      <c r="B652" s="87" t="s">
        <v>435</v>
      </c>
      <c r="C652" s="87" t="s">
        <v>443</v>
      </c>
      <c r="D652" s="89">
        <v>4700</v>
      </c>
      <c r="E652" s="89"/>
      <c r="F652" s="89"/>
      <c r="G652" s="87" t="str">
        <f t="shared" si="10"/>
        <v>213110400'= CONTAS A PAGAR CREDORES NACIONAIS100000000001117975000167</v>
      </c>
      <c r="H652" s="87" t="str">
        <f>VLOOKUP(Tabela1[[#This Row],[CONCATENAR]],'Classificações - Demonstrações'!$A$5:$C$46003,2,)</f>
        <v>Fornecedores</v>
      </c>
      <c r="I652" s="87"/>
    </row>
    <row r="653" spans="1:9" ht="12.75" customHeight="1" x14ac:dyDescent="0.2">
      <c r="A653" s="94" t="s">
        <v>5323</v>
      </c>
      <c r="B653" s="87" t="s">
        <v>435</v>
      </c>
      <c r="C653" s="87" t="s">
        <v>444</v>
      </c>
      <c r="D653" s="89">
        <v>68882.080000000002</v>
      </c>
      <c r="E653" s="89"/>
      <c r="F653" s="89"/>
      <c r="G653" s="87" t="str">
        <f t="shared" si="10"/>
        <v>213110400'= CONTAS A PAGAR CREDORES NACIONAIS100000000001762710000111</v>
      </c>
      <c r="H653" s="87" t="str">
        <f>VLOOKUP(Tabela1[[#This Row],[CONCATENAR]],'Classificações - Demonstrações'!$A$5:$C$46003,2,)</f>
        <v>Fornecedores</v>
      </c>
      <c r="I653" s="87"/>
    </row>
    <row r="654" spans="1:9" ht="12.75" customHeight="1" x14ac:dyDescent="0.2">
      <c r="A654" s="94" t="s">
        <v>5323</v>
      </c>
      <c r="B654" s="87" t="s">
        <v>435</v>
      </c>
      <c r="C654" s="87" t="s">
        <v>5031</v>
      </c>
      <c r="D654" s="89">
        <v>0</v>
      </c>
      <c r="E654" s="89"/>
      <c r="F654" s="89"/>
      <c r="G654" s="87" t="str">
        <f t="shared" si="10"/>
        <v>213110400'= CONTAS A PAGAR CREDORES NACIONAIS100000000001868396000156</v>
      </c>
      <c r="H654" s="87" t="str">
        <f>VLOOKUP(Tabela1[[#This Row],[CONCATENAR]],'Classificações - Demonstrações'!$A$5:$C$46003,2,)</f>
        <v>Fornecedores</v>
      </c>
      <c r="I654" s="87"/>
    </row>
    <row r="655" spans="1:9" ht="12.75" customHeight="1" x14ac:dyDescent="0.2">
      <c r="A655" s="94" t="s">
        <v>5323</v>
      </c>
      <c r="B655" s="87" t="s">
        <v>435</v>
      </c>
      <c r="C655" s="87" t="s">
        <v>445</v>
      </c>
      <c r="D655" s="88">
        <v>0</v>
      </c>
      <c r="E655" s="89"/>
      <c r="F655" s="89"/>
      <c r="G655" s="87" t="str">
        <f t="shared" si="10"/>
        <v>213110400'= CONTAS A PAGAR CREDORES NACIONAIS100000000002016558000190</v>
      </c>
      <c r="H655" s="87" t="str">
        <f>VLOOKUP(Tabela1[[#This Row],[CONCATENAR]],'Classificações - Demonstrações'!$A$5:$C$46003,2,)</f>
        <v>Fornecedores</v>
      </c>
      <c r="I655" s="87"/>
    </row>
    <row r="656" spans="1:9" ht="12.75" customHeight="1" x14ac:dyDescent="0.2">
      <c r="A656" s="94" t="s">
        <v>5323</v>
      </c>
      <c r="B656" s="87" t="s">
        <v>435</v>
      </c>
      <c r="C656" s="87" t="s">
        <v>446</v>
      </c>
      <c r="D656" s="88">
        <v>0</v>
      </c>
      <c r="E656" s="89"/>
      <c r="F656" s="89"/>
      <c r="G656" s="87" t="str">
        <f t="shared" si="10"/>
        <v>213110400'= CONTAS A PAGAR CREDORES NACIONAIS100000000002288055000174</v>
      </c>
      <c r="H656" s="87" t="str">
        <f>VLOOKUP(Tabela1[[#This Row],[CONCATENAR]],'Classificações - Demonstrações'!$A$5:$C$46003,2,)</f>
        <v>Fornecedores</v>
      </c>
      <c r="I656" s="87"/>
    </row>
    <row r="657" spans="1:9" ht="12.75" customHeight="1" x14ac:dyDescent="0.2">
      <c r="A657" s="94" t="s">
        <v>5323</v>
      </c>
      <c r="B657" s="87" t="s">
        <v>435</v>
      </c>
      <c r="C657" s="87" t="s">
        <v>447</v>
      </c>
      <c r="D657" s="88">
        <v>0</v>
      </c>
      <c r="E657" s="89"/>
      <c r="F657" s="89"/>
      <c r="G657" s="87" t="str">
        <f t="shared" si="10"/>
        <v>213110400'= CONTAS A PAGAR CREDORES NACIONAIS100000000002421421000111</v>
      </c>
      <c r="H657" s="87" t="str">
        <f>VLOOKUP(Tabela1[[#This Row],[CONCATENAR]],'Classificações - Demonstrações'!$A$5:$C$46003,2,)</f>
        <v>Fornecedores</v>
      </c>
      <c r="I657" s="87"/>
    </row>
    <row r="658" spans="1:9" ht="12.75" customHeight="1" x14ac:dyDescent="0.2">
      <c r="A658" s="94" t="s">
        <v>5323</v>
      </c>
      <c r="B658" s="87" t="s">
        <v>435</v>
      </c>
      <c r="C658" s="87" t="s">
        <v>5559</v>
      </c>
      <c r="D658" s="100">
        <v>0</v>
      </c>
      <c r="E658" s="88"/>
      <c r="F658" s="88"/>
      <c r="G658" s="87" t="str">
        <f t="shared" si="10"/>
        <v>213110400'= CONTAS A PAGAR CREDORES NACIONAIS100000000002959392000146</v>
      </c>
      <c r="H658" s="87" t="str">
        <f>VLOOKUP(Tabela1[[#This Row],[CONCATENAR]],'Classificações - Demonstrações'!$A$5:$C$46003,2,)</f>
        <v>Fornecedores</v>
      </c>
      <c r="I658" s="87"/>
    </row>
    <row r="659" spans="1:9" ht="12.75" customHeight="1" x14ac:dyDescent="0.2">
      <c r="A659" s="94" t="s">
        <v>5323</v>
      </c>
      <c r="B659" s="87" t="s">
        <v>435</v>
      </c>
      <c r="C659" s="87" t="s">
        <v>448</v>
      </c>
      <c r="D659" s="100">
        <v>0</v>
      </c>
      <c r="E659" s="89"/>
      <c r="F659" s="89"/>
      <c r="G659" s="87" t="str">
        <f t="shared" si="10"/>
        <v>213110400'= CONTAS A PAGAR CREDORES NACIONAIS100000000003117534000190</v>
      </c>
      <c r="H659" s="87" t="str">
        <f>VLOOKUP(Tabela1[[#This Row],[CONCATENAR]],'Classificações - Demonstrações'!$A$5:$C$46003,2,)</f>
        <v>Fornecedores</v>
      </c>
      <c r="I659" s="87"/>
    </row>
    <row r="660" spans="1:9" ht="12.75" customHeight="1" x14ac:dyDescent="0.2">
      <c r="A660" s="94" t="s">
        <v>5323</v>
      </c>
      <c r="B660" s="87" t="s">
        <v>435</v>
      </c>
      <c r="C660" s="87" t="s">
        <v>449</v>
      </c>
      <c r="D660" s="100">
        <v>0</v>
      </c>
      <c r="E660" s="89"/>
      <c r="F660" s="89"/>
      <c r="G660" s="87" t="str">
        <f t="shared" si="10"/>
        <v>213110400'= CONTAS A PAGAR CREDORES NACIONAIS100000000003237583006440</v>
      </c>
      <c r="H660" s="87" t="str">
        <f>VLOOKUP(Tabela1[[#This Row],[CONCATENAR]],'Classificações - Demonstrações'!$A$5:$C$46003,2,)</f>
        <v>Fornecedores</v>
      </c>
      <c r="I660" s="87"/>
    </row>
    <row r="661" spans="1:9" ht="12.75" customHeight="1" x14ac:dyDescent="0.2">
      <c r="A661" s="94" t="s">
        <v>5323</v>
      </c>
      <c r="B661" s="87" t="s">
        <v>435</v>
      </c>
      <c r="C661" s="87" t="s">
        <v>6074</v>
      </c>
      <c r="D661" s="100">
        <v>0</v>
      </c>
      <c r="E661" s="89"/>
      <c r="F661" s="89"/>
      <c r="G661" s="87" t="str">
        <f t="shared" si="10"/>
        <v>213110400'= CONTAS A PAGAR CREDORES NACIONAIS100000000003251714000160</v>
      </c>
      <c r="H661" s="87" t="str">
        <f>VLOOKUP(Tabela1[[#This Row],[CONCATENAR]],'Classificações - Demonstrações'!$A$5:$C$46003,2,)</f>
        <v>Fornecedores</v>
      </c>
      <c r="I661" s="87"/>
    </row>
    <row r="662" spans="1:9" ht="12.75" customHeight="1" x14ac:dyDescent="0.2">
      <c r="A662" s="94" t="s">
        <v>5323</v>
      </c>
      <c r="B662" s="87" t="s">
        <v>435</v>
      </c>
      <c r="C662" s="87" t="s">
        <v>450</v>
      </c>
      <c r="D662" s="100">
        <v>1773.41</v>
      </c>
      <c r="E662" s="88"/>
      <c r="F662" s="88"/>
      <c r="G662" s="87" t="str">
        <f t="shared" si="10"/>
        <v>213110400'= CONTAS A PAGAR CREDORES NACIONAIS100000000003279285000130</v>
      </c>
      <c r="H662" s="87" t="str">
        <f>VLOOKUP(Tabela1[[#This Row],[CONCATENAR]],'Classificações - Demonstrações'!$A$5:$C$46003,2,)</f>
        <v>Fornecedores</v>
      </c>
      <c r="I662" s="87"/>
    </row>
    <row r="663" spans="1:9" ht="12.75" customHeight="1" x14ac:dyDescent="0.2">
      <c r="A663" s="94" t="s">
        <v>5323</v>
      </c>
      <c r="B663" s="87" t="s">
        <v>435</v>
      </c>
      <c r="C663" s="87" t="s">
        <v>4761</v>
      </c>
      <c r="D663" s="88">
        <v>0</v>
      </c>
      <c r="E663" s="89"/>
      <c r="F663" s="89"/>
      <c r="G663" s="87" t="str">
        <f t="shared" si="10"/>
        <v>213110400'= CONTAS A PAGAR CREDORES NACIONAIS100000000003578224000173</v>
      </c>
      <c r="H663" s="87" t="str">
        <f>VLOOKUP(Tabela1[[#This Row],[CONCATENAR]],'Classificações - Demonstrações'!$A$5:$C$46003,2,)</f>
        <v>Fornecedores</v>
      </c>
      <c r="I663" s="87"/>
    </row>
    <row r="664" spans="1:9" ht="12.75" customHeight="1" x14ac:dyDescent="0.2">
      <c r="A664" s="94" t="s">
        <v>5323</v>
      </c>
      <c r="B664" s="87" t="s">
        <v>435</v>
      </c>
      <c r="C664" s="87" t="s">
        <v>4762</v>
      </c>
      <c r="D664" s="88">
        <v>523.74</v>
      </c>
      <c r="E664" s="89"/>
      <c r="F664" s="89"/>
      <c r="G664" s="87" t="str">
        <f t="shared" si="10"/>
        <v>213110400'= CONTAS A PAGAR CREDORES NACIONAIS100000000003656766000389</v>
      </c>
      <c r="H664" s="87" t="str">
        <f>VLOOKUP(Tabela1[[#This Row],[CONCATENAR]],'Classificações - Demonstrações'!$A$5:$C$46003,2,)</f>
        <v>Fornecedores</v>
      </c>
      <c r="I664" s="87"/>
    </row>
    <row r="665" spans="1:9" ht="12.75" customHeight="1" x14ac:dyDescent="0.2">
      <c r="A665" s="94" t="s">
        <v>5323</v>
      </c>
      <c r="B665" s="87" t="s">
        <v>435</v>
      </c>
      <c r="C665" s="87" t="s">
        <v>4621</v>
      </c>
      <c r="D665" s="88">
        <v>6630.75</v>
      </c>
      <c r="E665" s="89"/>
      <c r="F665" s="89"/>
      <c r="G665" s="87" t="str">
        <f t="shared" si="10"/>
        <v>213110400'= CONTAS A PAGAR CREDORES NACIONAIS100000000003750757000190</v>
      </c>
      <c r="H665" s="87" t="str">
        <f>VLOOKUP(Tabela1[[#This Row],[CONCATENAR]],'Classificações - Demonstrações'!$A$5:$C$46003,2,)</f>
        <v>Fornecedores</v>
      </c>
      <c r="I665" s="87"/>
    </row>
    <row r="666" spans="1:9" ht="12.75" customHeight="1" x14ac:dyDescent="0.2">
      <c r="A666" s="94" t="s">
        <v>5323</v>
      </c>
      <c r="B666" s="87" t="s">
        <v>435</v>
      </c>
      <c r="C666" s="87" t="s">
        <v>4763</v>
      </c>
      <c r="D666" s="89">
        <v>0</v>
      </c>
      <c r="E666" s="88"/>
      <c r="F666" s="88"/>
      <c r="G666" s="87" t="str">
        <f t="shared" si="10"/>
        <v>213110400'= CONTAS A PAGAR CREDORES NACIONAIS100000000003773700008353</v>
      </c>
      <c r="H666" s="87" t="str">
        <f>VLOOKUP(Tabela1[[#This Row],[CONCATENAR]],'Classificações - Demonstrações'!$A$5:$C$46003,2,)</f>
        <v>Fornecedores</v>
      </c>
      <c r="I666" s="87"/>
    </row>
    <row r="667" spans="1:9" ht="12.75" customHeight="1" x14ac:dyDescent="0.2">
      <c r="A667" s="94" t="s">
        <v>5323</v>
      </c>
      <c r="B667" s="87" t="s">
        <v>435</v>
      </c>
      <c r="C667" s="87" t="s">
        <v>451</v>
      </c>
      <c r="D667" s="89">
        <v>0</v>
      </c>
      <c r="E667" s="88"/>
      <c r="F667" s="88"/>
      <c r="G667" s="87" t="str">
        <f t="shared" si="10"/>
        <v>213110400'= CONTAS A PAGAR CREDORES NACIONAIS100000000003958504000107</v>
      </c>
      <c r="H667" s="87" t="str">
        <f>VLOOKUP(Tabela1[[#This Row],[CONCATENAR]],'Classificações - Demonstrações'!$A$5:$C$46003,2,)</f>
        <v>Fornecedores</v>
      </c>
      <c r="I667" s="87"/>
    </row>
    <row r="668" spans="1:9" ht="12.75" customHeight="1" x14ac:dyDescent="0.2">
      <c r="A668" s="94" t="s">
        <v>5323</v>
      </c>
      <c r="B668" s="87" t="s">
        <v>435</v>
      </c>
      <c r="C668" s="87" t="s">
        <v>5324</v>
      </c>
      <c r="D668" s="89">
        <v>0</v>
      </c>
      <c r="E668" s="89"/>
      <c r="F668" s="89"/>
      <c r="G668" s="87" t="str">
        <f t="shared" si="10"/>
        <v>213110400'= CONTAS A PAGAR CREDORES NACIONAIS100000000004127856000183</v>
      </c>
      <c r="H668" s="87" t="str">
        <f>VLOOKUP(Tabela1[[#This Row],[CONCATENAR]],'Classificações - Demonstrações'!$A$5:$C$46003,2,)</f>
        <v>Fornecedores</v>
      </c>
      <c r="I668" s="87"/>
    </row>
    <row r="669" spans="1:9" ht="12.75" customHeight="1" x14ac:dyDescent="0.2">
      <c r="A669" s="94" t="s">
        <v>5323</v>
      </c>
      <c r="B669" s="87" t="s">
        <v>435</v>
      </c>
      <c r="C669" s="87" t="s">
        <v>4622</v>
      </c>
      <c r="D669" s="101">
        <v>0</v>
      </c>
      <c r="E669" s="89"/>
      <c r="F669" s="89"/>
      <c r="G669" s="87" t="str">
        <f t="shared" si="10"/>
        <v>213110400'= CONTAS A PAGAR CREDORES NACIONAIS100000000004298309000756</v>
      </c>
      <c r="H669" s="87" t="str">
        <f>VLOOKUP(Tabela1[[#This Row],[CONCATENAR]],'Classificações - Demonstrações'!$A$5:$C$46003,2,)</f>
        <v>Fornecedores</v>
      </c>
      <c r="I669" s="87"/>
    </row>
    <row r="670" spans="1:9" ht="12.75" customHeight="1" x14ac:dyDescent="0.2">
      <c r="A670" s="94" t="s">
        <v>5323</v>
      </c>
      <c r="B670" s="87" t="s">
        <v>435</v>
      </c>
      <c r="C670" s="87" t="s">
        <v>452</v>
      </c>
      <c r="D670" s="101">
        <v>0</v>
      </c>
      <c r="E670" s="89"/>
      <c r="F670" s="89"/>
      <c r="G670" s="87" t="str">
        <f t="shared" si="10"/>
        <v>213110400'= CONTAS A PAGAR CREDORES NACIONAIS100000000004565030000104</v>
      </c>
      <c r="H670" s="87" t="str">
        <f>VLOOKUP(Tabela1[[#This Row],[CONCATENAR]],'Classificações - Demonstrações'!$A$5:$C$46003,2,)</f>
        <v>Fornecedores</v>
      </c>
      <c r="I670" s="87"/>
    </row>
    <row r="671" spans="1:9" ht="12.75" customHeight="1" x14ac:dyDescent="0.2">
      <c r="A671" s="94" t="s">
        <v>5323</v>
      </c>
      <c r="B671" s="87" t="s">
        <v>435</v>
      </c>
      <c r="C671" s="87" t="s">
        <v>4623</v>
      </c>
      <c r="D671" s="100">
        <v>0</v>
      </c>
      <c r="E671" s="88"/>
      <c r="F671" s="88"/>
      <c r="G671" s="87" t="str">
        <f t="shared" si="10"/>
        <v>213110400'= CONTAS A PAGAR CREDORES NACIONAIS100000000004646573000148</v>
      </c>
      <c r="H671" s="87" t="str">
        <f>VLOOKUP(Tabela1[[#This Row],[CONCATENAR]],'Classificações - Demonstrações'!$A$5:$C$46003,2,)</f>
        <v>Fornecedores</v>
      </c>
      <c r="I671" s="87"/>
    </row>
    <row r="672" spans="1:9" ht="12.75" customHeight="1" x14ac:dyDescent="0.2">
      <c r="A672" s="94" t="s">
        <v>5323</v>
      </c>
      <c r="B672" s="87" t="s">
        <v>435</v>
      </c>
      <c r="C672" s="87" t="s">
        <v>4764</v>
      </c>
      <c r="D672" s="100">
        <v>0</v>
      </c>
      <c r="E672" s="89"/>
      <c r="F672" s="89"/>
      <c r="G672" s="87" t="str">
        <f t="shared" si="10"/>
        <v>213110400'= CONTAS A PAGAR CREDORES NACIONAIS100000000004872241000181</v>
      </c>
      <c r="H672" s="87" t="str">
        <f>VLOOKUP(Tabela1[[#This Row],[CONCATENAR]],'Classificações - Demonstrações'!$A$5:$C$46003,2,)</f>
        <v>Fornecedores</v>
      </c>
      <c r="I672" s="87"/>
    </row>
    <row r="673" spans="1:9" ht="12.75" customHeight="1" x14ac:dyDescent="0.2">
      <c r="A673" s="94" t="s">
        <v>5323</v>
      </c>
      <c r="B673" s="87" t="s">
        <v>435</v>
      </c>
      <c r="C673" s="87" t="s">
        <v>4765</v>
      </c>
      <c r="D673" s="100">
        <v>0</v>
      </c>
      <c r="E673" s="88"/>
      <c r="F673" s="88"/>
      <c r="G673" s="87" t="str">
        <f t="shared" si="10"/>
        <v>213110400'= CONTAS A PAGAR CREDORES NACIONAIS100000000004889792000158</v>
      </c>
      <c r="H673" s="87" t="str">
        <f>VLOOKUP(Tabela1[[#This Row],[CONCATENAR]],'Classificações - Demonstrações'!$A$5:$C$46003,2,)</f>
        <v>Fornecedores</v>
      </c>
      <c r="I673" s="87"/>
    </row>
    <row r="674" spans="1:9" ht="12.75" customHeight="1" x14ac:dyDescent="0.2">
      <c r="A674" s="94" t="s">
        <v>5323</v>
      </c>
      <c r="B674" s="87" t="s">
        <v>435</v>
      </c>
      <c r="C674" s="87" t="s">
        <v>453</v>
      </c>
      <c r="D674" s="100">
        <v>0</v>
      </c>
      <c r="E674" s="88"/>
      <c r="F674" s="88"/>
      <c r="G674" s="87" t="str">
        <f t="shared" si="10"/>
        <v>213110400'= CONTAS A PAGAR CREDORES NACIONAIS100000000004931019000293</v>
      </c>
      <c r="H674" s="87" t="str">
        <f>VLOOKUP(Tabela1[[#This Row],[CONCATENAR]],'Classificações - Demonstrações'!$A$5:$C$46003,2,)</f>
        <v>Fornecedores</v>
      </c>
      <c r="I674" s="87"/>
    </row>
    <row r="675" spans="1:9" ht="12.75" customHeight="1" x14ac:dyDescent="0.2">
      <c r="A675" s="94" t="s">
        <v>5323</v>
      </c>
      <c r="B675" s="87" t="s">
        <v>435</v>
      </c>
      <c r="C675" s="87" t="s">
        <v>4624</v>
      </c>
      <c r="D675" s="101">
        <v>0</v>
      </c>
      <c r="E675" s="89"/>
      <c r="F675" s="89"/>
      <c r="G675" s="87" t="str">
        <f t="shared" si="10"/>
        <v>213110400'= CONTAS A PAGAR CREDORES NACIONAIS100000000005234289000127</v>
      </c>
      <c r="H675" s="87" t="str">
        <f>VLOOKUP(Tabela1[[#This Row],[CONCATENAR]],'Classificações - Demonstrações'!$A$5:$C$46003,2,)</f>
        <v>Fornecedores</v>
      </c>
      <c r="I675" s="87"/>
    </row>
    <row r="676" spans="1:9" ht="12.75" customHeight="1" x14ac:dyDescent="0.2">
      <c r="A676" s="94" t="s">
        <v>5323</v>
      </c>
      <c r="B676" s="87" t="s">
        <v>435</v>
      </c>
      <c r="C676" s="87" t="s">
        <v>4766</v>
      </c>
      <c r="D676" s="101">
        <v>0</v>
      </c>
      <c r="E676" s="89"/>
      <c r="F676" s="89"/>
      <c r="G676" s="87" t="str">
        <f t="shared" si="10"/>
        <v>213110400'= CONTAS A PAGAR CREDORES NACIONAIS100000000005250796000154</v>
      </c>
      <c r="H676" s="87" t="str">
        <f>VLOOKUP(Tabela1[[#This Row],[CONCATENAR]],'Classificações - Demonstrações'!$A$5:$C$46003,2,)</f>
        <v>Fornecedores</v>
      </c>
      <c r="I676" s="87"/>
    </row>
    <row r="677" spans="1:9" ht="12.75" customHeight="1" x14ac:dyDescent="0.2">
      <c r="A677" s="94" t="s">
        <v>5323</v>
      </c>
      <c r="B677" s="87" t="s">
        <v>435</v>
      </c>
      <c r="C677" s="87" t="s">
        <v>454</v>
      </c>
      <c r="D677" s="100">
        <v>0</v>
      </c>
      <c r="E677" s="88"/>
      <c r="F677" s="88"/>
      <c r="G677" s="87" t="str">
        <f t="shared" si="10"/>
        <v>213110400'= CONTAS A PAGAR CREDORES NACIONAIS100000000005295679000107</v>
      </c>
      <c r="H677" s="87" t="str">
        <f>VLOOKUP(Tabela1[[#This Row],[CONCATENAR]],'Classificações - Demonstrações'!$A$5:$C$46003,2,)</f>
        <v>Fornecedores</v>
      </c>
      <c r="I677" s="87"/>
    </row>
    <row r="678" spans="1:9" ht="12.75" customHeight="1" x14ac:dyDescent="0.2">
      <c r="A678" s="94" t="s">
        <v>5323</v>
      </c>
      <c r="B678" s="87" t="s">
        <v>435</v>
      </c>
      <c r="C678" s="87" t="s">
        <v>455</v>
      </c>
      <c r="D678" s="101">
        <v>0</v>
      </c>
      <c r="E678" s="89"/>
      <c r="F678" s="89"/>
      <c r="G678" s="87" t="str">
        <f t="shared" si="10"/>
        <v>213110400'= CONTAS A PAGAR CREDORES NACIONAIS100000000005340639000130</v>
      </c>
      <c r="H678" s="87" t="str">
        <f>VLOOKUP(Tabela1[[#This Row],[CONCATENAR]],'Classificações - Demonstrações'!$A$5:$C$46003,2,)</f>
        <v>Fornecedores</v>
      </c>
      <c r="I678" s="87"/>
    </row>
    <row r="679" spans="1:9" ht="12.75" customHeight="1" x14ac:dyDescent="0.2">
      <c r="A679" s="94" t="s">
        <v>5323</v>
      </c>
      <c r="B679" s="87" t="s">
        <v>435</v>
      </c>
      <c r="C679" s="87" t="s">
        <v>4625</v>
      </c>
      <c r="D679" s="100">
        <v>19643.939999999999</v>
      </c>
      <c r="E679" s="88"/>
      <c r="F679" s="88"/>
      <c r="G679" s="87" t="str">
        <f t="shared" si="10"/>
        <v>213110400'= CONTAS A PAGAR CREDORES NACIONAIS100000000005344234000170</v>
      </c>
      <c r="H679" s="87" t="str">
        <f>VLOOKUP(Tabela1[[#This Row],[CONCATENAR]],'Classificações - Demonstrações'!$A$5:$C$46003,2,)</f>
        <v>Fornecedores</v>
      </c>
      <c r="I679" s="87"/>
    </row>
    <row r="680" spans="1:9" ht="12.75" customHeight="1" x14ac:dyDescent="0.2">
      <c r="A680" s="94" t="s">
        <v>5323</v>
      </c>
      <c r="B680" s="87" t="s">
        <v>435</v>
      </c>
      <c r="C680" s="87" t="s">
        <v>4626</v>
      </c>
      <c r="D680" s="100">
        <v>0</v>
      </c>
      <c r="E680" s="89"/>
      <c r="F680" s="89"/>
      <c r="G680" s="87" t="str">
        <f t="shared" si="10"/>
        <v>213110400'= CONTAS A PAGAR CREDORES NACIONAIS100000000005538148000106</v>
      </c>
      <c r="H680" s="87" t="str">
        <f>VLOOKUP(Tabela1[[#This Row],[CONCATENAR]],'Classificações - Demonstrações'!$A$5:$C$46003,2,)</f>
        <v>Fornecedores</v>
      </c>
      <c r="I680" s="87"/>
    </row>
    <row r="681" spans="1:9" ht="12.75" customHeight="1" x14ac:dyDescent="0.2">
      <c r="A681" s="94" t="s">
        <v>5323</v>
      </c>
      <c r="B681" s="87" t="s">
        <v>435</v>
      </c>
      <c r="C681" s="87" t="s">
        <v>4767</v>
      </c>
      <c r="D681" s="88">
        <v>0</v>
      </c>
      <c r="E681" s="89"/>
      <c r="F681" s="89"/>
      <c r="G681" s="87" t="str">
        <f t="shared" si="10"/>
        <v>213110400'= CONTAS A PAGAR CREDORES NACIONAIS100000000005573756000143</v>
      </c>
      <c r="H681" s="87" t="str">
        <f>VLOOKUP(Tabela1[[#This Row],[CONCATENAR]],'Classificações - Demonstrações'!$A$5:$C$46003,2,)</f>
        <v>Fornecedores</v>
      </c>
      <c r="I681" s="87"/>
    </row>
    <row r="682" spans="1:9" ht="12.75" customHeight="1" x14ac:dyDescent="0.2">
      <c r="A682" s="94" t="s">
        <v>5323</v>
      </c>
      <c r="B682" s="87" t="s">
        <v>435</v>
      </c>
      <c r="C682" s="87" t="s">
        <v>4768</v>
      </c>
      <c r="D682" s="88">
        <v>0</v>
      </c>
      <c r="E682" s="89"/>
      <c r="F682" s="89"/>
      <c r="G682" s="87" t="str">
        <f t="shared" si="10"/>
        <v>213110400'= CONTAS A PAGAR CREDORES NACIONAIS100000000005872814000300</v>
      </c>
      <c r="H682" s="87" t="str">
        <f>VLOOKUP(Tabela1[[#This Row],[CONCATENAR]],'Classificações - Demonstrações'!$A$5:$C$46003,2,)</f>
        <v>Fornecedores</v>
      </c>
      <c r="I682" s="87"/>
    </row>
    <row r="683" spans="1:9" ht="12.75" customHeight="1" x14ac:dyDescent="0.2">
      <c r="A683" s="94" t="s">
        <v>5323</v>
      </c>
      <c r="B683" s="87" t="s">
        <v>435</v>
      </c>
      <c r="C683" s="87" t="s">
        <v>6075</v>
      </c>
      <c r="D683" s="88">
        <v>0</v>
      </c>
      <c r="E683" s="89"/>
      <c r="F683" s="89"/>
      <c r="G683" s="87" t="str">
        <f t="shared" si="10"/>
        <v>213110400'= CONTAS A PAGAR CREDORES NACIONAIS100000000006034135000154</v>
      </c>
      <c r="H683" s="87" t="str">
        <f>VLOOKUP(Tabela1[[#This Row],[CONCATENAR]],'Classificações - Demonstrações'!$A$5:$C$46003,2,)</f>
        <v>Fornecedores</v>
      </c>
      <c r="I683" s="87"/>
    </row>
    <row r="684" spans="1:9" ht="12.75" customHeight="1" x14ac:dyDescent="0.2">
      <c r="A684" s="94" t="s">
        <v>5323</v>
      </c>
      <c r="B684" s="87" t="s">
        <v>435</v>
      </c>
      <c r="C684" s="87" t="s">
        <v>456</v>
      </c>
      <c r="D684" s="88">
        <v>95812.33</v>
      </c>
      <c r="E684" s="89"/>
      <c r="F684" s="89"/>
      <c r="G684" s="87" t="str">
        <f t="shared" si="10"/>
        <v>213110400'= CONTAS A PAGAR CREDORES NACIONAIS100000000007028841000156</v>
      </c>
      <c r="H684" s="87" t="str">
        <f>VLOOKUP(Tabela1[[#This Row],[CONCATENAR]],'Classificações - Demonstrações'!$A$5:$C$46003,2,)</f>
        <v>Fornecedores</v>
      </c>
      <c r="I684" s="87"/>
    </row>
    <row r="685" spans="1:9" ht="12.75" customHeight="1" x14ac:dyDescent="0.2">
      <c r="A685" s="94" t="s">
        <v>5323</v>
      </c>
      <c r="B685" s="87" t="s">
        <v>435</v>
      </c>
      <c r="C685" s="87" t="s">
        <v>457</v>
      </c>
      <c r="D685" s="89">
        <v>1152.5</v>
      </c>
      <c r="E685" s="88"/>
      <c r="F685" s="88"/>
      <c r="G685" s="87" t="str">
        <f t="shared" si="10"/>
        <v>213110400'= CONTAS A PAGAR CREDORES NACIONAIS100000000007067496000402</v>
      </c>
      <c r="H685" s="87" t="str">
        <f>VLOOKUP(Tabela1[[#This Row],[CONCATENAR]],'Classificações - Demonstrações'!$A$5:$C$46003,2,)</f>
        <v>Fornecedores</v>
      </c>
      <c r="I685" s="87"/>
    </row>
    <row r="686" spans="1:9" ht="12.75" customHeight="1" x14ac:dyDescent="0.2">
      <c r="A686" s="94" t="s">
        <v>5323</v>
      </c>
      <c r="B686" s="87" t="s">
        <v>435</v>
      </c>
      <c r="C686" s="87" t="s">
        <v>4627</v>
      </c>
      <c r="D686" s="89">
        <v>0</v>
      </c>
      <c r="E686" s="88"/>
      <c r="F686" s="88"/>
      <c r="G686" s="87" t="str">
        <f t="shared" si="10"/>
        <v>213110400'= CONTAS A PAGAR CREDORES NACIONAIS100000000007358761000169</v>
      </c>
      <c r="H686" s="87" t="str">
        <f>VLOOKUP(Tabela1[[#This Row],[CONCATENAR]],'Classificações - Demonstrações'!$A$5:$C$46003,2,)</f>
        <v>Fornecedores</v>
      </c>
      <c r="I686" s="87"/>
    </row>
    <row r="687" spans="1:9" ht="12.75" customHeight="1" x14ac:dyDescent="0.2">
      <c r="A687" s="94" t="s">
        <v>5323</v>
      </c>
      <c r="B687" s="87" t="s">
        <v>435</v>
      </c>
      <c r="C687" s="87" t="s">
        <v>458</v>
      </c>
      <c r="D687" s="88">
        <v>0</v>
      </c>
      <c r="E687" s="89"/>
      <c r="F687" s="89"/>
      <c r="G687" s="87" t="str">
        <f t="shared" si="10"/>
        <v>213110400'= CONTAS A PAGAR CREDORES NACIONAIS100000000007465373000187</v>
      </c>
      <c r="H687" s="87" t="str">
        <f>VLOOKUP(Tabela1[[#This Row],[CONCATENAR]],'Classificações - Demonstrações'!$A$5:$C$46003,2,)</f>
        <v>Fornecedores</v>
      </c>
      <c r="I687" s="87"/>
    </row>
    <row r="688" spans="1:9" ht="12.75" customHeight="1" x14ac:dyDescent="0.2">
      <c r="A688" s="94" t="s">
        <v>5323</v>
      </c>
      <c r="B688" s="87" t="s">
        <v>435</v>
      </c>
      <c r="C688" s="87" t="s">
        <v>5325</v>
      </c>
      <c r="D688" s="88">
        <v>16556.04</v>
      </c>
      <c r="E688" s="89"/>
      <c r="F688" s="89"/>
      <c r="G688" s="87" t="str">
        <f t="shared" si="10"/>
        <v>213110400'= CONTAS A PAGAR CREDORES NACIONAIS100000000007470286000118</v>
      </c>
      <c r="H688" s="87" t="str">
        <f>VLOOKUP(Tabela1[[#This Row],[CONCATENAR]],'Classificações - Demonstrações'!$A$5:$C$46003,2,)</f>
        <v>Fornecedores</v>
      </c>
      <c r="I688" s="87"/>
    </row>
    <row r="689" spans="1:9" ht="12.75" customHeight="1" x14ac:dyDescent="0.2">
      <c r="A689" s="94" t="s">
        <v>5323</v>
      </c>
      <c r="B689" s="87" t="s">
        <v>435</v>
      </c>
      <c r="C689" s="87" t="s">
        <v>4769</v>
      </c>
      <c r="D689" s="88">
        <v>0</v>
      </c>
      <c r="E689" s="89"/>
      <c r="F689" s="89"/>
      <c r="G689" s="87" t="str">
        <f t="shared" si="10"/>
        <v>213110400'= CONTAS A PAGAR CREDORES NACIONAIS100000000007625852000113</v>
      </c>
      <c r="H689" s="87" t="str">
        <f>VLOOKUP(Tabela1[[#This Row],[CONCATENAR]],'Classificações - Demonstrações'!$A$5:$C$46003,2,)</f>
        <v>Fornecedores</v>
      </c>
      <c r="I689" s="87"/>
    </row>
    <row r="690" spans="1:9" ht="12.75" customHeight="1" x14ac:dyDescent="0.2">
      <c r="A690" s="94" t="s">
        <v>5323</v>
      </c>
      <c r="B690" s="87" t="s">
        <v>435</v>
      </c>
      <c r="C690" s="87" t="s">
        <v>4628</v>
      </c>
      <c r="D690" s="88">
        <v>4389.34</v>
      </c>
      <c r="E690" s="89"/>
      <c r="F690" s="89"/>
      <c r="G690" s="87" t="str">
        <f t="shared" si="10"/>
        <v>213110400'= CONTAS A PAGAR CREDORES NACIONAIS100000000007710046000143</v>
      </c>
      <c r="H690" s="87" t="str">
        <f>VLOOKUP(Tabela1[[#This Row],[CONCATENAR]],'Classificações - Demonstrações'!$A$5:$C$46003,2,)</f>
        <v>Fornecedores</v>
      </c>
      <c r="I690" s="87"/>
    </row>
    <row r="691" spans="1:9" ht="12.75" customHeight="1" x14ac:dyDescent="0.2">
      <c r="A691" s="94" t="s">
        <v>5323</v>
      </c>
      <c r="B691" s="87" t="s">
        <v>435</v>
      </c>
      <c r="C691" s="87" t="s">
        <v>5326</v>
      </c>
      <c r="D691" s="88">
        <v>0</v>
      </c>
      <c r="E691" s="89"/>
      <c r="F691" s="89"/>
      <c r="G691" s="87" t="str">
        <f t="shared" si="10"/>
        <v>213110400'= CONTAS A PAGAR CREDORES NACIONAIS100000000007878237000119</v>
      </c>
      <c r="H691" s="87" t="str">
        <f>VLOOKUP(Tabela1[[#This Row],[CONCATENAR]],'Classificações - Demonstrações'!$A$5:$C$46003,2,)</f>
        <v>Fornecedores</v>
      </c>
      <c r="I691" s="87"/>
    </row>
    <row r="692" spans="1:9" ht="12.75" customHeight="1" x14ac:dyDescent="0.2">
      <c r="A692" s="94" t="s">
        <v>5323</v>
      </c>
      <c r="B692" s="87" t="s">
        <v>435</v>
      </c>
      <c r="C692" s="87" t="s">
        <v>6076</v>
      </c>
      <c r="D692" s="88">
        <v>0</v>
      </c>
      <c r="E692" s="89"/>
      <c r="F692" s="89"/>
      <c r="G692" s="87" t="str">
        <f t="shared" si="10"/>
        <v>213110400'= CONTAS A PAGAR CREDORES NACIONAIS100000000007906865000160</v>
      </c>
      <c r="H692" s="87" t="str">
        <f>VLOOKUP(Tabela1[[#This Row],[CONCATENAR]],'Classificações - Demonstrações'!$A$5:$C$46003,2,)</f>
        <v>Fornecedores</v>
      </c>
      <c r="I692" s="87"/>
    </row>
    <row r="693" spans="1:9" ht="12.75" customHeight="1" x14ac:dyDescent="0.2">
      <c r="A693" s="94" t="s">
        <v>5323</v>
      </c>
      <c r="B693" s="87" t="s">
        <v>435</v>
      </c>
      <c r="C693" s="87" t="s">
        <v>459</v>
      </c>
      <c r="D693" s="88">
        <v>0</v>
      </c>
      <c r="E693" s="89"/>
      <c r="F693" s="89"/>
      <c r="G693" s="87" t="str">
        <f t="shared" si="10"/>
        <v>213110400'= CONTAS A PAGAR CREDORES NACIONAIS100000000008100057000174</v>
      </c>
      <c r="H693" s="87" t="str">
        <f>VLOOKUP(Tabela1[[#This Row],[CONCATENAR]],'Classificações - Demonstrações'!$A$5:$C$46003,2,)</f>
        <v>Fornecedores</v>
      </c>
      <c r="I693" s="87"/>
    </row>
    <row r="694" spans="1:9" ht="12.75" customHeight="1" x14ac:dyDescent="0.2">
      <c r="A694" s="94" t="s">
        <v>5323</v>
      </c>
      <c r="B694" s="87" t="s">
        <v>435</v>
      </c>
      <c r="C694" s="87" t="s">
        <v>4629</v>
      </c>
      <c r="D694" s="88">
        <v>0</v>
      </c>
      <c r="E694" s="89"/>
      <c r="F694" s="89"/>
      <c r="G694" s="87" t="str">
        <f t="shared" si="10"/>
        <v>213110400'= CONTAS A PAGAR CREDORES NACIONAIS100000000008237411000107</v>
      </c>
      <c r="H694" s="87" t="str">
        <f>VLOOKUP(Tabela1[[#This Row],[CONCATENAR]],'Classificações - Demonstrações'!$A$5:$C$46003,2,)</f>
        <v>Fornecedores</v>
      </c>
      <c r="I694" s="87"/>
    </row>
    <row r="695" spans="1:9" ht="12.75" customHeight="1" x14ac:dyDescent="0.2">
      <c r="A695" s="94" t="s">
        <v>5323</v>
      </c>
      <c r="B695" s="87" t="s">
        <v>435</v>
      </c>
      <c r="C695" s="87" t="s">
        <v>6077</v>
      </c>
      <c r="D695" s="88">
        <v>0</v>
      </c>
      <c r="E695" s="89"/>
      <c r="F695" s="89"/>
      <c r="G695" s="87" t="str">
        <f t="shared" si="10"/>
        <v>213110400'= CONTAS A PAGAR CREDORES NACIONAIS100000000008400213000112</v>
      </c>
      <c r="H695" s="87" t="str">
        <f>VLOOKUP(Tabela1[[#This Row],[CONCATENAR]],'Classificações - Demonstrações'!$A$5:$C$46003,2,)</f>
        <v>Fornecedores</v>
      </c>
      <c r="I695" s="87"/>
    </row>
    <row r="696" spans="1:9" ht="12.75" customHeight="1" x14ac:dyDescent="0.2">
      <c r="A696" s="94" t="s">
        <v>5323</v>
      </c>
      <c r="B696" s="87" t="s">
        <v>435</v>
      </c>
      <c r="C696" s="87" t="s">
        <v>4630</v>
      </c>
      <c r="D696" s="88">
        <v>0</v>
      </c>
      <c r="E696" s="89"/>
      <c r="F696" s="89"/>
      <c r="G696" s="87" t="str">
        <f t="shared" si="10"/>
        <v>213110400'= CONTAS A PAGAR CREDORES NACIONAIS100000000008561372000107</v>
      </c>
      <c r="H696" s="87" t="str">
        <f>VLOOKUP(Tabela1[[#This Row],[CONCATENAR]],'Classificações - Demonstrações'!$A$5:$C$46003,2,)</f>
        <v>Fornecedores</v>
      </c>
      <c r="I696" s="87"/>
    </row>
    <row r="697" spans="1:9" ht="12.75" customHeight="1" x14ac:dyDescent="0.2">
      <c r="A697" s="94" t="s">
        <v>5323</v>
      </c>
      <c r="B697" s="87" t="s">
        <v>435</v>
      </c>
      <c r="C697" s="87" t="s">
        <v>460</v>
      </c>
      <c r="D697" s="88">
        <v>0</v>
      </c>
      <c r="E697" s="89"/>
      <c r="F697" s="89"/>
      <c r="G697" s="87" t="str">
        <f t="shared" si="10"/>
        <v>213110400'= CONTAS A PAGAR CREDORES NACIONAIS100000000008689801000118</v>
      </c>
      <c r="H697" s="87" t="str">
        <f>VLOOKUP(Tabela1[[#This Row],[CONCATENAR]],'Classificações - Demonstrações'!$A$5:$C$46003,2,)</f>
        <v>Fornecedores</v>
      </c>
      <c r="I697" s="87"/>
    </row>
    <row r="698" spans="1:9" ht="12.75" customHeight="1" x14ac:dyDescent="0.2">
      <c r="A698" s="94" t="s">
        <v>5323</v>
      </c>
      <c r="B698" s="87" t="s">
        <v>435</v>
      </c>
      <c r="C698" s="87" t="s">
        <v>4770</v>
      </c>
      <c r="D698" s="88">
        <v>0</v>
      </c>
      <c r="E698" s="89"/>
      <c r="F698" s="89"/>
      <c r="G698" s="87" t="str">
        <f t="shared" si="10"/>
        <v>213110400'= CONTAS A PAGAR CREDORES NACIONAIS100000000008783191000117</v>
      </c>
      <c r="H698" s="87" t="str">
        <f>VLOOKUP(Tabela1[[#This Row],[CONCATENAR]],'Classificações - Demonstrações'!$A$5:$C$46003,2,)</f>
        <v>Fornecedores</v>
      </c>
      <c r="I698" s="87"/>
    </row>
    <row r="699" spans="1:9" ht="12.75" customHeight="1" x14ac:dyDescent="0.2">
      <c r="A699" s="94" t="s">
        <v>5323</v>
      </c>
      <c r="B699" s="87" t="s">
        <v>435</v>
      </c>
      <c r="C699" s="87" t="s">
        <v>6078</v>
      </c>
      <c r="D699" s="88">
        <v>0</v>
      </c>
      <c r="E699" s="89"/>
      <c r="F699" s="89"/>
      <c r="G699" s="87" t="str">
        <f t="shared" si="10"/>
        <v>213110400'= CONTAS A PAGAR CREDORES NACIONAIS100000000009199793000194</v>
      </c>
      <c r="H699" s="87" t="str">
        <f>VLOOKUP(Tabela1[[#This Row],[CONCATENAR]],'Classificações - Demonstrações'!$A$5:$C$46003,2,)</f>
        <v>Fornecedores</v>
      </c>
      <c r="I699" s="87"/>
    </row>
    <row r="700" spans="1:9" ht="12.75" customHeight="1" x14ac:dyDescent="0.2">
      <c r="A700" s="94" t="s">
        <v>5323</v>
      </c>
      <c r="B700" s="87" t="s">
        <v>435</v>
      </c>
      <c r="C700" s="87" t="s">
        <v>6079</v>
      </c>
      <c r="D700" s="88">
        <v>0.01</v>
      </c>
      <c r="E700" s="89"/>
      <c r="F700" s="89"/>
      <c r="G700" s="87" t="str">
        <f t="shared" si="10"/>
        <v>213110400'= CONTAS A PAGAR CREDORES NACIONAIS100000000009209275000104</v>
      </c>
      <c r="H700" s="87" t="str">
        <f>VLOOKUP(Tabela1[[#This Row],[CONCATENAR]],'Classificações - Demonstrações'!$A$5:$C$46003,2,)</f>
        <v>Fornecedores</v>
      </c>
      <c r="I700" s="87"/>
    </row>
    <row r="701" spans="1:9" ht="12.75" customHeight="1" x14ac:dyDescent="0.2">
      <c r="A701" s="94" t="s">
        <v>5323</v>
      </c>
      <c r="B701" s="87" t="s">
        <v>435</v>
      </c>
      <c r="C701" s="87" t="s">
        <v>6080</v>
      </c>
      <c r="D701" s="88">
        <v>0</v>
      </c>
      <c r="E701" s="89"/>
      <c r="F701" s="89"/>
      <c r="G701" s="87" t="str">
        <f t="shared" si="10"/>
        <v>213110400'= CONTAS A PAGAR CREDORES NACIONAIS100000000009362098000100</v>
      </c>
      <c r="H701" s="87" t="str">
        <f>VLOOKUP(Tabela1[[#This Row],[CONCATENAR]],'Classificações - Demonstrações'!$A$5:$C$46003,2,)</f>
        <v>Fornecedores</v>
      </c>
      <c r="I701" s="87"/>
    </row>
    <row r="702" spans="1:9" ht="12.75" customHeight="1" x14ac:dyDescent="0.2">
      <c r="A702" s="94" t="s">
        <v>5323</v>
      </c>
      <c r="B702" s="87" t="s">
        <v>435</v>
      </c>
      <c r="C702" s="87" t="s">
        <v>461</v>
      </c>
      <c r="D702" s="88">
        <v>0</v>
      </c>
      <c r="E702" s="89"/>
      <c r="F702" s="89"/>
      <c r="G702" s="87" t="str">
        <f t="shared" si="10"/>
        <v>213110400'= CONTAS A PAGAR CREDORES NACIONAIS100000000009471199000100</v>
      </c>
      <c r="H702" s="87" t="str">
        <f>VLOOKUP(Tabela1[[#This Row],[CONCATENAR]],'Classificações - Demonstrações'!$A$5:$C$46003,2,)</f>
        <v>Fornecedores</v>
      </c>
      <c r="I702" s="87"/>
    </row>
    <row r="703" spans="1:9" ht="12.75" customHeight="1" x14ac:dyDescent="0.2">
      <c r="A703" s="94" t="s">
        <v>5323</v>
      </c>
      <c r="B703" s="87" t="s">
        <v>435</v>
      </c>
      <c r="C703" s="87" t="s">
        <v>6081</v>
      </c>
      <c r="D703" s="88">
        <v>0</v>
      </c>
      <c r="E703" s="89"/>
      <c r="F703" s="89"/>
      <c r="G703" s="87" t="str">
        <f t="shared" si="10"/>
        <v>213110400'= CONTAS A PAGAR CREDORES NACIONAIS100000000009485031000154</v>
      </c>
      <c r="H703" s="87" t="str">
        <f>VLOOKUP(Tabela1[[#This Row],[CONCATENAR]],'Classificações - Demonstrações'!$A$5:$C$46003,2,)</f>
        <v>Fornecedores</v>
      </c>
      <c r="I703" s="87"/>
    </row>
    <row r="704" spans="1:9" ht="12.75" customHeight="1" x14ac:dyDescent="0.2">
      <c r="A704" s="94" t="s">
        <v>5323</v>
      </c>
      <c r="B704" s="87" t="s">
        <v>435</v>
      </c>
      <c r="C704" s="87" t="s">
        <v>6082</v>
      </c>
      <c r="D704" s="88">
        <v>0</v>
      </c>
      <c r="E704" s="89"/>
      <c r="F704" s="89"/>
      <c r="G704" s="87" t="str">
        <f t="shared" si="10"/>
        <v>213110400'= CONTAS A PAGAR CREDORES NACIONAIS100000000009622294000168</v>
      </c>
      <c r="H704" s="87" t="str">
        <f>VLOOKUP(Tabela1[[#This Row],[CONCATENAR]],'Classificações - Demonstrações'!$A$5:$C$46003,2,)</f>
        <v>Fornecedores</v>
      </c>
      <c r="I704" s="87"/>
    </row>
    <row r="705" spans="1:9" ht="12.75" customHeight="1" x14ac:dyDescent="0.2">
      <c r="A705" s="94" t="s">
        <v>5323</v>
      </c>
      <c r="B705" s="87" t="s">
        <v>435</v>
      </c>
      <c r="C705" s="87" t="s">
        <v>5327</v>
      </c>
      <c r="D705" s="88">
        <v>13166</v>
      </c>
      <c r="E705" s="89"/>
      <c r="F705" s="89"/>
      <c r="G705" s="87" t="str">
        <f t="shared" si="10"/>
        <v>213110400'= CONTAS A PAGAR CREDORES NACIONAIS100000000009624894000165</v>
      </c>
      <c r="H705" s="87" t="str">
        <f>VLOOKUP(Tabela1[[#This Row],[CONCATENAR]],'Classificações - Demonstrações'!$A$5:$C$46003,2,)</f>
        <v>Fornecedores</v>
      </c>
      <c r="I705" s="87"/>
    </row>
    <row r="706" spans="1:9" ht="12.75" customHeight="1" x14ac:dyDescent="0.2">
      <c r="A706" s="94" t="s">
        <v>5323</v>
      </c>
      <c r="B706" s="87" t="s">
        <v>435</v>
      </c>
      <c r="C706" s="87" t="s">
        <v>462</v>
      </c>
      <c r="D706" s="88">
        <v>264483.01</v>
      </c>
      <c r="E706" s="89"/>
      <c r="F706" s="89"/>
      <c r="G706" s="87" t="str">
        <f t="shared" si="10"/>
        <v>213110400'= CONTAS A PAGAR CREDORES NACIONAIS100000000009632388000118</v>
      </c>
      <c r="H706" s="87" t="str">
        <f>VLOOKUP(Tabela1[[#This Row],[CONCATENAR]],'Classificações - Demonstrações'!$A$5:$C$46003,2,)</f>
        <v>Fornecedores</v>
      </c>
      <c r="I706" s="87"/>
    </row>
    <row r="707" spans="1:9" ht="12.75" customHeight="1" x14ac:dyDescent="0.2">
      <c r="A707" s="94" t="s">
        <v>5323</v>
      </c>
      <c r="B707" s="87" t="s">
        <v>435</v>
      </c>
      <c r="C707" s="87" t="s">
        <v>5328</v>
      </c>
      <c r="D707" s="88">
        <v>0</v>
      </c>
      <c r="E707" s="89"/>
      <c r="F707" s="89"/>
      <c r="G707" s="87" t="str">
        <f t="shared" si="10"/>
        <v>213110400'= CONTAS A PAGAR CREDORES NACIONAIS100000000010380412000158</v>
      </c>
      <c r="H707" s="87" t="str">
        <f>VLOOKUP(Tabela1[[#This Row],[CONCATENAR]],'Classificações - Demonstrações'!$A$5:$C$46003,2,)</f>
        <v>Fornecedores</v>
      </c>
      <c r="I707" s="87"/>
    </row>
    <row r="708" spans="1:9" ht="12.75" customHeight="1" x14ac:dyDescent="0.2">
      <c r="A708" s="94" t="s">
        <v>5323</v>
      </c>
      <c r="B708" s="87" t="s">
        <v>435</v>
      </c>
      <c r="C708" s="87" t="s">
        <v>4631</v>
      </c>
      <c r="D708" s="88">
        <v>0</v>
      </c>
      <c r="E708" s="89"/>
      <c r="F708" s="89"/>
      <c r="G708" s="87" t="str">
        <f t="shared" si="10"/>
        <v>213110400'= CONTAS A PAGAR CREDORES NACIONAIS100000000010656610000100</v>
      </c>
      <c r="H708" s="87" t="str">
        <f>VLOOKUP(Tabela1[[#This Row],[CONCATENAR]],'Classificações - Demonstrações'!$A$5:$C$46003,2,)</f>
        <v>Fornecedores</v>
      </c>
      <c r="I708" s="87"/>
    </row>
    <row r="709" spans="1:9" ht="12.75" customHeight="1" x14ac:dyDescent="0.2">
      <c r="A709" s="94" t="s">
        <v>5323</v>
      </c>
      <c r="B709" s="87" t="s">
        <v>435</v>
      </c>
      <c r="C709" s="87" t="s">
        <v>5142</v>
      </c>
      <c r="D709" s="88">
        <v>43550.94</v>
      </c>
      <c r="E709" s="89"/>
      <c r="F709" s="89"/>
      <c r="G709" s="87" t="str">
        <f t="shared" ref="G709:G772" si="11">CONCATENATE(A709,B709,C709)</f>
        <v>213110400'= CONTAS A PAGAR CREDORES NACIONAIS100000000010733675000101</v>
      </c>
      <c r="H709" s="87" t="str">
        <f>VLOOKUP(Tabela1[[#This Row],[CONCATENAR]],'Classificações - Demonstrações'!$A$5:$C$46003,2,)</f>
        <v>Fornecedores</v>
      </c>
      <c r="I709" s="87"/>
    </row>
    <row r="710" spans="1:9" ht="12.75" customHeight="1" x14ac:dyDescent="0.2">
      <c r="A710" s="94" t="s">
        <v>5323</v>
      </c>
      <c r="B710" s="87" t="s">
        <v>435</v>
      </c>
      <c r="C710" s="87" t="s">
        <v>4632</v>
      </c>
      <c r="D710" s="88">
        <v>2205.16</v>
      </c>
      <c r="E710" s="89"/>
      <c r="F710" s="89"/>
      <c r="G710" s="87" t="str">
        <f t="shared" si="11"/>
        <v>213110400'= CONTAS A PAGAR CREDORES NACIONAIS100000000010992676000162</v>
      </c>
      <c r="H710" s="87" t="str">
        <f>VLOOKUP(Tabela1[[#This Row],[CONCATENAR]],'Classificações - Demonstrações'!$A$5:$C$46003,2,)</f>
        <v>Fornecedores</v>
      </c>
      <c r="I710" s="87"/>
    </row>
    <row r="711" spans="1:9" ht="12.75" customHeight="1" x14ac:dyDescent="0.2">
      <c r="A711" s="94" t="s">
        <v>5323</v>
      </c>
      <c r="B711" s="87" t="s">
        <v>435</v>
      </c>
      <c r="C711" s="87" t="s">
        <v>6083</v>
      </c>
      <c r="D711" s="88">
        <v>0</v>
      </c>
      <c r="E711" s="89"/>
      <c r="F711" s="89"/>
      <c r="G711" s="87" t="str">
        <f t="shared" si="11"/>
        <v>213110400'= CONTAS A PAGAR CREDORES NACIONAIS100000000011068595000133</v>
      </c>
      <c r="H711" s="87" t="str">
        <f>VLOOKUP(Tabela1[[#This Row],[CONCATENAR]],'Classificações - Demonstrações'!$A$5:$C$46003,2,)</f>
        <v>Fornecedores</v>
      </c>
      <c r="I711" s="87"/>
    </row>
    <row r="712" spans="1:9" ht="12.75" customHeight="1" x14ac:dyDescent="0.2">
      <c r="A712" s="94" t="s">
        <v>5323</v>
      </c>
      <c r="B712" s="87" t="s">
        <v>435</v>
      </c>
      <c r="C712" s="87" t="s">
        <v>6084</v>
      </c>
      <c r="D712" s="88">
        <v>0</v>
      </c>
      <c r="E712" s="89"/>
      <c r="F712" s="89"/>
      <c r="G712" s="87" t="str">
        <f t="shared" si="11"/>
        <v>213110400'= CONTAS A PAGAR CREDORES NACIONAIS100000000011315906000111</v>
      </c>
      <c r="H712" s="87" t="str">
        <f>VLOOKUP(Tabela1[[#This Row],[CONCATENAR]],'Classificações - Demonstrações'!$A$5:$C$46003,2,)</f>
        <v>Fornecedores</v>
      </c>
      <c r="I712" s="87"/>
    </row>
    <row r="713" spans="1:9" ht="12.75" customHeight="1" x14ac:dyDescent="0.2">
      <c r="A713" s="94" t="s">
        <v>5323</v>
      </c>
      <c r="B713" s="87" t="s">
        <v>435</v>
      </c>
      <c r="C713" s="87" t="s">
        <v>463</v>
      </c>
      <c r="D713" s="88">
        <v>0</v>
      </c>
      <c r="E713" s="89"/>
      <c r="F713" s="89"/>
      <c r="G713" s="87" t="str">
        <f t="shared" si="11"/>
        <v>213110400'= CONTAS A PAGAR CREDORES NACIONAIS100000000011319574000143</v>
      </c>
      <c r="H713" s="87" t="str">
        <f>VLOOKUP(Tabela1[[#This Row],[CONCATENAR]],'Classificações - Demonstrações'!$A$5:$C$46003,2,)</f>
        <v>Fornecedores</v>
      </c>
      <c r="I713" s="87"/>
    </row>
    <row r="714" spans="1:9" ht="12.75" customHeight="1" x14ac:dyDescent="0.2">
      <c r="A714" s="94" t="s">
        <v>5323</v>
      </c>
      <c r="B714" s="87" t="s">
        <v>435</v>
      </c>
      <c r="C714" s="87" t="s">
        <v>464</v>
      </c>
      <c r="D714" s="88">
        <v>0</v>
      </c>
      <c r="E714" s="89"/>
      <c r="F714" s="89"/>
      <c r="G714" s="87" t="str">
        <f t="shared" si="11"/>
        <v>213110400'= CONTAS A PAGAR CREDORES NACIONAIS100000000011394929000169</v>
      </c>
      <c r="H714" s="87" t="str">
        <f>VLOOKUP(Tabela1[[#This Row],[CONCATENAR]],'Classificações - Demonstrações'!$A$5:$C$46003,2,)</f>
        <v>Fornecedores</v>
      </c>
      <c r="I714" s="87"/>
    </row>
    <row r="715" spans="1:9" ht="12.75" customHeight="1" x14ac:dyDescent="0.2">
      <c r="A715" s="94" t="s">
        <v>5323</v>
      </c>
      <c r="B715" s="87" t="s">
        <v>435</v>
      </c>
      <c r="C715" s="87" t="s">
        <v>465</v>
      </c>
      <c r="D715" s="88">
        <v>7637.88</v>
      </c>
      <c r="E715" s="89"/>
      <c r="F715" s="89"/>
      <c r="G715" s="87" t="str">
        <f t="shared" si="11"/>
        <v>213110400'= CONTAS A PAGAR CREDORES NACIONAIS100000000011395635000151</v>
      </c>
      <c r="H715" s="87" t="str">
        <f>VLOOKUP(Tabela1[[#This Row],[CONCATENAR]],'Classificações - Demonstrações'!$A$5:$C$46003,2,)</f>
        <v>Fornecedores</v>
      </c>
      <c r="I715" s="87"/>
    </row>
    <row r="716" spans="1:9" ht="12.75" customHeight="1" x14ac:dyDescent="0.2">
      <c r="A716" s="94" t="s">
        <v>5323</v>
      </c>
      <c r="B716" s="87" t="s">
        <v>435</v>
      </c>
      <c r="C716" s="87" t="s">
        <v>466</v>
      </c>
      <c r="D716" s="88">
        <v>0</v>
      </c>
      <c r="E716" s="89"/>
      <c r="F716" s="89"/>
      <c r="G716" s="87" t="str">
        <f t="shared" si="11"/>
        <v>213110400'= CONTAS A PAGAR CREDORES NACIONAIS100000000011699534000174</v>
      </c>
      <c r="H716" s="87" t="str">
        <f>VLOOKUP(Tabela1[[#This Row],[CONCATENAR]],'Classificações - Demonstrações'!$A$5:$C$46003,2,)</f>
        <v>Fornecedores</v>
      </c>
      <c r="I716" s="87"/>
    </row>
    <row r="717" spans="1:9" ht="12.75" customHeight="1" x14ac:dyDescent="0.2">
      <c r="A717" s="94" t="s">
        <v>5323</v>
      </c>
      <c r="B717" s="87" t="s">
        <v>435</v>
      </c>
      <c r="C717" s="87" t="s">
        <v>467</v>
      </c>
      <c r="D717" s="88">
        <v>0</v>
      </c>
      <c r="E717" s="89"/>
      <c r="F717" s="89"/>
      <c r="G717" s="87" t="str">
        <f t="shared" si="11"/>
        <v>213110400'= CONTAS A PAGAR CREDORES NACIONAIS100000000011880336000102</v>
      </c>
      <c r="H717" s="87" t="str">
        <f>VLOOKUP(Tabela1[[#This Row],[CONCATENAR]],'Classificações - Demonstrações'!$A$5:$C$46003,2,)</f>
        <v>Fornecedores</v>
      </c>
      <c r="I717" s="87"/>
    </row>
    <row r="718" spans="1:9" ht="12.75" customHeight="1" x14ac:dyDescent="0.2">
      <c r="A718" s="94" t="s">
        <v>5323</v>
      </c>
      <c r="B718" s="87" t="s">
        <v>435</v>
      </c>
      <c r="C718" s="87" t="s">
        <v>468</v>
      </c>
      <c r="D718" s="88">
        <v>1600</v>
      </c>
      <c r="E718" s="89"/>
      <c r="F718" s="89"/>
      <c r="G718" s="87" t="str">
        <f t="shared" si="11"/>
        <v>213110400'= CONTAS A PAGAR CREDORES NACIONAIS100000000012788962000136</v>
      </c>
      <c r="H718" s="87" t="str">
        <f>VLOOKUP(Tabela1[[#This Row],[CONCATENAR]],'Classificações - Demonstrações'!$A$5:$C$46003,2,)</f>
        <v>Fornecedores</v>
      </c>
      <c r="I718" s="87"/>
    </row>
    <row r="719" spans="1:9" ht="12.75" customHeight="1" x14ac:dyDescent="0.2">
      <c r="A719" s="94" t="s">
        <v>5323</v>
      </c>
      <c r="B719" s="87" t="s">
        <v>435</v>
      </c>
      <c r="C719" s="87" t="s">
        <v>469</v>
      </c>
      <c r="D719" s="88">
        <v>53733.21</v>
      </c>
      <c r="E719" s="89"/>
      <c r="F719" s="89"/>
      <c r="G719" s="87" t="str">
        <f t="shared" si="11"/>
        <v>213110400'= CONTAS A PAGAR CREDORES NACIONAIS100000000013830495000128</v>
      </c>
      <c r="H719" s="87" t="str">
        <f>VLOOKUP(Tabela1[[#This Row],[CONCATENAR]],'Classificações - Demonstrações'!$A$5:$C$46003,2,)</f>
        <v>Fornecedores</v>
      </c>
      <c r="I719" s="87"/>
    </row>
    <row r="720" spans="1:9" ht="12.75" customHeight="1" x14ac:dyDescent="0.2">
      <c r="A720" s="94" t="s">
        <v>5323</v>
      </c>
      <c r="B720" s="87" t="s">
        <v>435</v>
      </c>
      <c r="C720" s="87" t="s">
        <v>6085</v>
      </c>
      <c r="D720" s="88">
        <v>17740.03</v>
      </c>
      <c r="E720" s="89"/>
      <c r="F720" s="89"/>
      <c r="G720" s="87" t="str">
        <f t="shared" si="11"/>
        <v>213110400'= CONTAS A PAGAR CREDORES NACIONAIS100000000013911455000291</v>
      </c>
      <c r="H720" s="87" t="str">
        <f>VLOOKUP(Tabela1[[#This Row],[CONCATENAR]],'Classificações - Demonstrações'!$A$5:$C$46003,2,)</f>
        <v>Fornecedores</v>
      </c>
      <c r="I720" s="87"/>
    </row>
    <row r="721" spans="1:9" ht="12.75" customHeight="1" x14ac:dyDescent="0.2">
      <c r="A721" s="94" t="s">
        <v>5323</v>
      </c>
      <c r="B721" s="87" t="s">
        <v>435</v>
      </c>
      <c r="C721" s="87" t="s">
        <v>5667</v>
      </c>
      <c r="D721" s="88">
        <v>0</v>
      </c>
      <c r="E721" s="89"/>
      <c r="F721" s="89"/>
      <c r="G721" s="87" t="str">
        <f t="shared" si="11"/>
        <v>213110400'= CONTAS A PAGAR CREDORES NACIONAIS100000000014000561000103</v>
      </c>
      <c r="H721" s="87" t="str">
        <f>VLOOKUP(Tabela1[[#This Row],[CONCATENAR]],'Classificações - Demonstrações'!$A$5:$C$46003,2,)</f>
        <v>Fornecedores</v>
      </c>
      <c r="I721" s="87"/>
    </row>
    <row r="722" spans="1:9" ht="12.75" customHeight="1" x14ac:dyDescent="0.2">
      <c r="A722" s="94" t="s">
        <v>5323</v>
      </c>
      <c r="B722" s="87" t="s">
        <v>435</v>
      </c>
      <c r="C722" s="87" t="s">
        <v>470</v>
      </c>
      <c r="D722" s="88">
        <v>0</v>
      </c>
      <c r="E722" s="89"/>
      <c r="F722" s="89"/>
      <c r="G722" s="87" t="str">
        <f t="shared" si="11"/>
        <v>213110400'= CONTAS A PAGAR CREDORES NACIONAIS100000000014108596000152</v>
      </c>
      <c r="H722" s="87" t="str">
        <f>VLOOKUP(Tabela1[[#This Row],[CONCATENAR]],'Classificações - Demonstrações'!$A$5:$C$46003,2,)</f>
        <v>Fornecedores</v>
      </c>
      <c r="I722" s="87"/>
    </row>
    <row r="723" spans="1:9" ht="12.75" customHeight="1" x14ac:dyDescent="0.2">
      <c r="A723" s="94" t="s">
        <v>5323</v>
      </c>
      <c r="B723" s="87" t="s">
        <v>435</v>
      </c>
      <c r="C723" s="87" t="s">
        <v>471</v>
      </c>
      <c r="D723" s="88">
        <v>31000</v>
      </c>
      <c r="E723" s="89"/>
      <c r="F723" s="89"/>
      <c r="G723" s="87" t="str">
        <f t="shared" si="11"/>
        <v>213110400'= CONTAS A PAGAR CREDORES NACIONAIS100000000014950590000128</v>
      </c>
      <c r="H723" s="87" t="str">
        <f>VLOOKUP(Tabela1[[#This Row],[CONCATENAR]],'Classificações - Demonstrações'!$A$5:$C$46003,2,)</f>
        <v>Fornecedores</v>
      </c>
      <c r="I723" s="87"/>
    </row>
    <row r="724" spans="1:9" ht="12.75" customHeight="1" x14ac:dyDescent="0.2">
      <c r="A724" s="94" t="s">
        <v>5323</v>
      </c>
      <c r="B724" s="87" t="s">
        <v>435</v>
      </c>
      <c r="C724" s="87" t="s">
        <v>4771</v>
      </c>
      <c r="D724" s="88">
        <v>0</v>
      </c>
      <c r="E724" s="89"/>
      <c r="F724" s="89"/>
      <c r="G724" s="87" t="str">
        <f t="shared" si="11"/>
        <v>213110400'= CONTAS A PAGAR CREDORES NACIONAIS100000000015809115000107</v>
      </c>
      <c r="H724" s="87" t="str">
        <f>VLOOKUP(Tabela1[[#This Row],[CONCATENAR]],'Classificações - Demonstrações'!$A$5:$C$46003,2,)</f>
        <v>Fornecedores</v>
      </c>
      <c r="I724" s="87"/>
    </row>
    <row r="725" spans="1:9" ht="12.75" customHeight="1" x14ac:dyDescent="0.2">
      <c r="A725" s="94" t="s">
        <v>5323</v>
      </c>
      <c r="B725" s="87" t="s">
        <v>435</v>
      </c>
      <c r="C725" s="87" t="s">
        <v>472</v>
      </c>
      <c r="D725" s="88">
        <v>0</v>
      </c>
      <c r="E725" s="89"/>
      <c r="F725" s="89"/>
      <c r="G725" s="87" t="str">
        <f t="shared" si="11"/>
        <v>213110400'= CONTAS A PAGAR CREDORES NACIONAIS100000000016727386000178</v>
      </c>
      <c r="H725" s="87" t="str">
        <f>VLOOKUP(Tabela1[[#This Row],[CONCATENAR]],'Classificações - Demonstrações'!$A$5:$C$46003,2,)</f>
        <v>Fornecedores</v>
      </c>
      <c r="I725" s="87"/>
    </row>
    <row r="726" spans="1:9" ht="12.75" customHeight="1" x14ac:dyDescent="0.2">
      <c r="A726" s="94" t="s">
        <v>5323</v>
      </c>
      <c r="B726" s="87" t="s">
        <v>435</v>
      </c>
      <c r="C726" s="87" t="s">
        <v>6086</v>
      </c>
      <c r="D726" s="88">
        <v>0</v>
      </c>
      <c r="E726" s="89"/>
      <c r="F726" s="89"/>
      <c r="G726" s="87" t="str">
        <f t="shared" si="11"/>
        <v>213110400'= CONTAS A PAGAR CREDORES NACIONAIS100000000016814622000193</v>
      </c>
      <c r="H726" s="87" t="str">
        <f>VLOOKUP(Tabela1[[#This Row],[CONCATENAR]],'Classificações - Demonstrações'!$A$5:$C$46003,2,)</f>
        <v>Fornecedores</v>
      </c>
      <c r="I726" s="87"/>
    </row>
    <row r="727" spans="1:9" ht="12.75" customHeight="1" x14ac:dyDescent="0.2">
      <c r="A727" s="94" t="s">
        <v>5323</v>
      </c>
      <c r="B727" s="87" t="s">
        <v>435</v>
      </c>
      <c r="C727" s="87" t="s">
        <v>4538</v>
      </c>
      <c r="D727" s="88">
        <v>8337.8700000000008</v>
      </c>
      <c r="E727" s="89"/>
      <c r="F727" s="89"/>
      <c r="G727" s="87" t="str">
        <f t="shared" si="11"/>
        <v>213110400'= CONTAS A PAGAR CREDORES NACIONAIS100000000016944219000189</v>
      </c>
      <c r="H727" s="87" t="str">
        <f>VLOOKUP(Tabela1[[#This Row],[CONCATENAR]],'Classificações - Demonstrações'!$A$5:$C$46003,2,)</f>
        <v>Fornecedores</v>
      </c>
      <c r="I727" s="87"/>
    </row>
    <row r="728" spans="1:9" ht="12.75" customHeight="1" x14ac:dyDescent="0.2">
      <c r="A728" s="94" t="s">
        <v>5323</v>
      </c>
      <c r="B728" s="87" t="s">
        <v>435</v>
      </c>
      <c r="C728" s="87" t="s">
        <v>5329</v>
      </c>
      <c r="D728" s="88">
        <v>0</v>
      </c>
      <c r="E728" s="89"/>
      <c r="F728" s="89"/>
      <c r="G728" s="87" t="str">
        <f t="shared" si="11"/>
        <v>213110400'= CONTAS A PAGAR CREDORES NACIONAIS100000000018072608000197</v>
      </c>
      <c r="H728" s="87" t="str">
        <f>VLOOKUP(Tabela1[[#This Row],[CONCATENAR]],'Classificações - Demonstrações'!$A$5:$C$46003,2,)</f>
        <v>Fornecedores</v>
      </c>
      <c r="I728" s="87"/>
    </row>
    <row r="729" spans="1:9" ht="12.75" customHeight="1" x14ac:dyDescent="0.2">
      <c r="A729" s="94" t="s">
        <v>5323</v>
      </c>
      <c r="B729" s="87" t="s">
        <v>435</v>
      </c>
      <c r="C729" s="87" t="s">
        <v>4772</v>
      </c>
      <c r="D729" s="88">
        <v>0</v>
      </c>
      <c r="E729" s="89"/>
      <c r="F729" s="89"/>
      <c r="G729" s="87" t="str">
        <f t="shared" si="11"/>
        <v>213110400'= CONTAS A PAGAR CREDORES NACIONAIS100000000018548151000144</v>
      </c>
      <c r="H729" s="87" t="str">
        <f>VLOOKUP(Tabela1[[#This Row],[CONCATENAR]],'Classificações - Demonstrações'!$A$5:$C$46003,2,)</f>
        <v>Fornecedores</v>
      </c>
      <c r="I729" s="87"/>
    </row>
    <row r="730" spans="1:9" ht="12.75" customHeight="1" x14ac:dyDescent="0.2">
      <c r="A730" s="94" t="s">
        <v>5323</v>
      </c>
      <c r="B730" s="87" t="s">
        <v>435</v>
      </c>
      <c r="C730" s="87" t="s">
        <v>473</v>
      </c>
      <c r="D730" s="88">
        <v>0</v>
      </c>
      <c r="E730" s="89"/>
      <c r="F730" s="89"/>
      <c r="G730" s="87" t="str">
        <f t="shared" si="11"/>
        <v>213110400'= CONTAS A PAGAR CREDORES NACIONAIS100000000018631695000175</v>
      </c>
      <c r="H730" s="87" t="str">
        <f>VLOOKUP(Tabela1[[#This Row],[CONCATENAR]],'Classificações - Demonstrações'!$A$5:$C$46003,2,)</f>
        <v>Fornecedores</v>
      </c>
      <c r="I730" s="87"/>
    </row>
    <row r="731" spans="1:9" ht="12.75" customHeight="1" x14ac:dyDescent="0.2">
      <c r="A731" s="94" t="s">
        <v>5323</v>
      </c>
      <c r="B731" s="87" t="s">
        <v>435</v>
      </c>
      <c r="C731" s="87" t="s">
        <v>474</v>
      </c>
      <c r="D731" s="88">
        <v>0</v>
      </c>
      <c r="E731" s="89"/>
      <c r="F731" s="89"/>
      <c r="G731" s="87" t="str">
        <f t="shared" si="11"/>
        <v>213110400'= CONTAS A PAGAR CREDORES NACIONAIS100000000019011825000130</v>
      </c>
      <c r="H731" s="87" t="str">
        <f>VLOOKUP(Tabela1[[#This Row],[CONCATENAR]],'Classificações - Demonstrações'!$A$5:$C$46003,2,)</f>
        <v>Fornecedores</v>
      </c>
      <c r="I731" s="87"/>
    </row>
    <row r="732" spans="1:9" ht="12.75" customHeight="1" x14ac:dyDescent="0.2">
      <c r="A732" s="94" t="s">
        <v>5323</v>
      </c>
      <c r="B732" s="87" t="s">
        <v>435</v>
      </c>
      <c r="C732" s="87" t="s">
        <v>4633</v>
      </c>
      <c r="D732" s="88">
        <v>0</v>
      </c>
      <c r="E732" s="89"/>
      <c r="F732" s="89"/>
      <c r="G732" s="87" t="str">
        <f t="shared" si="11"/>
        <v>213110400'= CONTAS A PAGAR CREDORES NACIONAIS100000000019069562000110</v>
      </c>
      <c r="H732" s="87" t="str">
        <f>VLOOKUP(Tabela1[[#This Row],[CONCATENAR]],'Classificações - Demonstrações'!$A$5:$C$46003,2,)</f>
        <v>Fornecedores</v>
      </c>
      <c r="I732" s="87"/>
    </row>
    <row r="733" spans="1:9" ht="12.75" customHeight="1" x14ac:dyDescent="0.2">
      <c r="A733" s="94" t="s">
        <v>5323</v>
      </c>
      <c r="B733" s="87" t="s">
        <v>435</v>
      </c>
      <c r="C733" s="87" t="s">
        <v>6087</v>
      </c>
      <c r="D733" s="88">
        <v>0</v>
      </c>
      <c r="E733" s="89"/>
      <c r="F733" s="89"/>
      <c r="G733" s="87" t="str">
        <f t="shared" si="11"/>
        <v>213110400'= CONTAS A PAGAR CREDORES NACIONAIS100000000019209290000106</v>
      </c>
      <c r="H733" s="87" t="str">
        <f>VLOOKUP(Tabela1[[#This Row],[CONCATENAR]],'Classificações - Demonstrações'!$A$5:$C$46003,2,)</f>
        <v>Fornecedores</v>
      </c>
      <c r="I733" s="87"/>
    </row>
    <row r="734" spans="1:9" ht="12.75" customHeight="1" x14ac:dyDescent="0.2">
      <c r="A734" s="94" t="s">
        <v>5323</v>
      </c>
      <c r="B734" s="87" t="s">
        <v>435</v>
      </c>
      <c r="C734" s="87" t="s">
        <v>4634</v>
      </c>
      <c r="D734" s="88">
        <v>0</v>
      </c>
      <c r="E734" s="89"/>
      <c r="F734" s="89"/>
      <c r="G734" s="87" t="str">
        <f t="shared" si="11"/>
        <v>213110400'= CONTAS A PAGAR CREDORES NACIONAIS100000000020050544000175</v>
      </c>
      <c r="H734" s="87" t="str">
        <f>VLOOKUP(Tabela1[[#This Row],[CONCATENAR]],'Classificações - Demonstrações'!$A$5:$C$46003,2,)</f>
        <v>Fornecedores</v>
      </c>
      <c r="I734" s="87"/>
    </row>
    <row r="735" spans="1:9" ht="12.75" customHeight="1" x14ac:dyDescent="0.2">
      <c r="A735" s="94" t="s">
        <v>5323</v>
      </c>
      <c r="B735" s="87" t="s">
        <v>435</v>
      </c>
      <c r="C735" s="87" t="s">
        <v>5032</v>
      </c>
      <c r="D735" s="88">
        <v>46534.720000000001</v>
      </c>
      <c r="E735" s="89"/>
      <c r="F735" s="89"/>
      <c r="G735" s="87" t="str">
        <f t="shared" si="11"/>
        <v>213110400'= CONTAS A PAGAR CREDORES NACIONAIS100000000020477335000102</v>
      </c>
      <c r="H735" s="87" t="str">
        <f>VLOOKUP(Tabela1[[#This Row],[CONCATENAR]],'Classificações - Demonstrações'!$A$5:$C$46003,2,)</f>
        <v>Fornecedores</v>
      </c>
      <c r="I735" s="87"/>
    </row>
    <row r="736" spans="1:9" ht="12.75" customHeight="1" x14ac:dyDescent="0.2">
      <c r="A736" s="94" t="s">
        <v>5323</v>
      </c>
      <c r="B736" s="87" t="s">
        <v>435</v>
      </c>
      <c r="C736" s="87" t="s">
        <v>4773</v>
      </c>
      <c r="D736" s="88">
        <v>0</v>
      </c>
      <c r="E736" s="89"/>
      <c r="F736" s="89"/>
      <c r="G736" s="87" t="str">
        <f t="shared" si="11"/>
        <v>213110400'= CONTAS A PAGAR CREDORES NACIONAIS100000000021592185000140</v>
      </c>
      <c r="H736" s="87" t="str">
        <f>VLOOKUP(Tabela1[[#This Row],[CONCATENAR]],'Classificações - Demonstrações'!$A$5:$C$46003,2,)</f>
        <v>Fornecedores</v>
      </c>
      <c r="I736" s="87"/>
    </row>
    <row r="737" spans="1:9" ht="12.75" customHeight="1" x14ac:dyDescent="0.2">
      <c r="A737" s="94" t="s">
        <v>5323</v>
      </c>
      <c r="B737" s="87" t="s">
        <v>435</v>
      </c>
      <c r="C737" s="87" t="s">
        <v>476</v>
      </c>
      <c r="D737" s="88">
        <v>0</v>
      </c>
      <c r="E737" s="89"/>
      <c r="F737" s="89"/>
      <c r="G737" s="87" t="str">
        <f t="shared" si="11"/>
        <v>213110400'= CONTAS A PAGAR CREDORES NACIONAIS100000000021993683000103</v>
      </c>
      <c r="H737" s="87" t="str">
        <f>VLOOKUP(Tabela1[[#This Row],[CONCATENAR]],'Classificações - Demonstrações'!$A$5:$C$46003,2,)</f>
        <v>Fornecedores</v>
      </c>
      <c r="I737" s="87"/>
    </row>
    <row r="738" spans="1:9" ht="12.75" customHeight="1" x14ac:dyDescent="0.2">
      <c r="A738" s="94" t="s">
        <v>5323</v>
      </c>
      <c r="B738" s="87" t="s">
        <v>435</v>
      </c>
      <c r="C738" s="87" t="s">
        <v>5330</v>
      </c>
      <c r="D738" s="88">
        <v>0</v>
      </c>
      <c r="E738" s="89"/>
      <c r="F738" s="89"/>
      <c r="G738" s="87" t="str">
        <f t="shared" si="11"/>
        <v>213110400'= CONTAS A PAGAR CREDORES NACIONAIS100000000022261840000140</v>
      </c>
      <c r="H738" s="87" t="str">
        <f>VLOOKUP(Tabela1[[#This Row],[CONCATENAR]],'Classificações - Demonstrações'!$A$5:$C$46003,2,)</f>
        <v>Fornecedores</v>
      </c>
      <c r="I738" s="87"/>
    </row>
    <row r="739" spans="1:9" ht="12.75" customHeight="1" x14ac:dyDescent="0.2">
      <c r="A739" s="94" t="s">
        <v>5323</v>
      </c>
      <c r="B739" s="87" t="s">
        <v>435</v>
      </c>
      <c r="C739" s="87" t="s">
        <v>5143</v>
      </c>
      <c r="D739" s="88">
        <v>0</v>
      </c>
      <c r="E739" s="89"/>
      <c r="F739" s="89"/>
      <c r="G739" s="87" t="str">
        <f t="shared" si="11"/>
        <v>213110400'= CONTAS A PAGAR CREDORES NACIONAIS100000000023001873000114</v>
      </c>
      <c r="H739" s="87" t="str">
        <f>VLOOKUP(Tabela1[[#This Row],[CONCATENAR]],'Classificações - Demonstrações'!$A$5:$C$46003,2,)</f>
        <v>Fornecedores</v>
      </c>
      <c r="I739" s="87"/>
    </row>
    <row r="740" spans="1:9" ht="12.75" customHeight="1" x14ac:dyDescent="0.2">
      <c r="A740" s="94" t="s">
        <v>5323</v>
      </c>
      <c r="B740" s="87" t="s">
        <v>435</v>
      </c>
      <c r="C740" s="87" t="s">
        <v>5033</v>
      </c>
      <c r="D740" s="88">
        <v>0</v>
      </c>
      <c r="E740" s="89"/>
      <c r="F740" s="89"/>
      <c r="G740" s="87" t="str">
        <f t="shared" si="11"/>
        <v>213110400'= CONTAS A PAGAR CREDORES NACIONAIS100000000023566982000189</v>
      </c>
      <c r="H740" s="87" t="str">
        <f>VLOOKUP(Tabela1[[#This Row],[CONCATENAR]],'Classificações - Demonstrações'!$A$5:$C$46003,2,)</f>
        <v>Fornecedores</v>
      </c>
      <c r="I740" s="87"/>
    </row>
    <row r="741" spans="1:9" ht="12.75" customHeight="1" x14ac:dyDescent="0.2">
      <c r="A741" s="94" t="s">
        <v>5323</v>
      </c>
      <c r="B741" s="87" t="s">
        <v>435</v>
      </c>
      <c r="C741" s="87" t="s">
        <v>477</v>
      </c>
      <c r="D741" s="88">
        <v>0</v>
      </c>
      <c r="E741" s="89"/>
      <c r="F741" s="89"/>
      <c r="G741" s="87" t="str">
        <f t="shared" si="11"/>
        <v>213110400'= CONTAS A PAGAR CREDORES NACIONAIS100000000023886982000166</v>
      </c>
      <c r="H741" s="87" t="str">
        <f>VLOOKUP(Tabela1[[#This Row],[CONCATENAR]],'Classificações - Demonstrações'!$A$5:$C$46003,2,)</f>
        <v>Fornecedores</v>
      </c>
      <c r="I741" s="87"/>
    </row>
    <row r="742" spans="1:9" ht="12.75" customHeight="1" x14ac:dyDescent="0.2">
      <c r="A742" s="94" t="s">
        <v>5323</v>
      </c>
      <c r="B742" s="87" t="s">
        <v>435</v>
      </c>
      <c r="C742" s="87" t="s">
        <v>6088</v>
      </c>
      <c r="D742" s="88">
        <v>0</v>
      </c>
      <c r="E742" s="89"/>
      <c r="F742" s="89"/>
      <c r="G742" s="87" t="str">
        <f t="shared" si="11"/>
        <v>213110400'= CONTAS A PAGAR CREDORES NACIONAIS100000000023908807000122</v>
      </c>
      <c r="H742" s="87" t="str">
        <f>VLOOKUP(Tabela1[[#This Row],[CONCATENAR]],'Classificações - Demonstrações'!$A$5:$C$46003,2,)</f>
        <v>Fornecedores</v>
      </c>
      <c r="I742" s="87"/>
    </row>
    <row r="743" spans="1:9" ht="12.75" customHeight="1" x14ac:dyDescent="0.2">
      <c r="A743" s="94" t="s">
        <v>5323</v>
      </c>
      <c r="B743" s="87" t="s">
        <v>435</v>
      </c>
      <c r="C743" s="87" t="s">
        <v>6089</v>
      </c>
      <c r="D743" s="88">
        <v>0</v>
      </c>
      <c r="E743" s="89"/>
      <c r="F743" s="89"/>
      <c r="G743" s="87" t="str">
        <f t="shared" si="11"/>
        <v>213110400'= CONTAS A PAGAR CREDORES NACIONAIS100000000024777932000103</v>
      </c>
      <c r="H743" s="87" t="str">
        <f>VLOOKUP(Tabela1[[#This Row],[CONCATENAR]],'Classificações - Demonstrações'!$A$5:$C$46003,2,)</f>
        <v>Fornecedores</v>
      </c>
      <c r="I743" s="87"/>
    </row>
    <row r="744" spans="1:9" ht="12.75" customHeight="1" x14ac:dyDescent="0.2">
      <c r="A744" s="94" t="s">
        <v>5323</v>
      </c>
      <c r="B744" s="87" t="s">
        <v>435</v>
      </c>
      <c r="C744" s="87" t="s">
        <v>4774</v>
      </c>
      <c r="D744" s="88">
        <v>0</v>
      </c>
      <c r="E744" s="89"/>
      <c r="F744" s="89"/>
      <c r="G744" s="87" t="str">
        <f t="shared" si="11"/>
        <v>213110400'= CONTAS A PAGAR CREDORES NACIONAIS100000000025229713000152</v>
      </c>
      <c r="H744" s="87" t="str">
        <f>VLOOKUP(Tabela1[[#This Row],[CONCATENAR]],'Classificações - Demonstrações'!$A$5:$C$46003,2,)</f>
        <v>Fornecedores</v>
      </c>
      <c r="I744" s="87"/>
    </row>
    <row r="745" spans="1:9" ht="12.75" customHeight="1" x14ac:dyDescent="0.2">
      <c r="A745" s="94" t="s">
        <v>5323</v>
      </c>
      <c r="B745" s="87" t="s">
        <v>435</v>
      </c>
      <c r="C745" s="87" t="s">
        <v>5668</v>
      </c>
      <c r="D745" s="88">
        <v>0</v>
      </c>
      <c r="E745" s="89"/>
      <c r="F745" s="89"/>
      <c r="G745" s="87" t="str">
        <f t="shared" si="11"/>
        <v>213110400'= CONTAS A PAGAR CREDORES NACIONAIS100000000025258766000100</v>
      </c>
      <c r="H745" s="87" t="str">
        <f>VLOOKUP(Tabela1[[#This Row],[CONCATENAR]],'Classificações - Demonstrações'!$A$5:$C$46003,2,)</f>
        <v>Fornecedores</v>
      </c>
      <c r="I745" s="87"/>
    </row>
    <row r="746" spans="1:9" ht="12.75" customHeight="1" x14ac:dyDescent="0.2">
      <c r="A746" s="94" t="s">
        <v>5323</v>
      </c>
      <c r="B746" s="87" t="s">
        <v>435</v>
      </c>
      <c r="C746" s="87" t="s">
        <v>6090</v>
      </c>
      <c r="D746" s="88">
        <v>0</v>
      </c>
      <c r="E746" s="89"/>
      <c r="F746" s="89"/>
      <c r="G746" s="87" t="str">
        <f t="shared" si="11"/>
        <v>213110400'= CONTAS A PAGAR CREDORES NACIONAIS100000000026692162000121</v>
      </c>
      <c r="H746" s="87" t="str">
        <f>VLOOKUP(Tabela1[[#This Row],[CONCATENAR]],'Classificações - Demonstrações'!$A$5:$C$46003,2,)</f>
        <v>Fornecedores</v>
      </c>
      <c r="I746" s="87"/>
    </row>
    <row r="747" spans="1:9" ht="12.75" customHeight="1" x14ac:dyDescent="0.2">
      <c r="A747" s="94" t="s">
        <v>5323</v>
      </c>
      <c r="B747" s="87" t="s">
        <v>435</v>
      </c>
      <c r="C747" s="87" t="s">
        <v>6091</v>
      </c>
      <c r="D747" s="88">
        <v>0</v>
      </c>
      <c r="E747" s="89"/>
      <c r="F747" s="89"/>
      <c r="G747" s="87" t="str">
        <f t="shared" si="11"/>
        <v>213110400'= CONTAS A PAGAR CREDORES NACIONAIS100000000027217586000105</v>
      </c>
      <c r="H747" s="87" t="str">
        <f>VLOOKUP(Tabela1[[#This Row],[CONCATENAR]],'Classificações - Demonstrações'!$A$5:$C$46003,2,)</f>
        <v>Fornecedores</v>
      </c>
      <c r="I747" s="87"/>
    </row>
    <row r="748" spans="1:9" ht="12.75" customHeight="1" x14ac:dyDescent="0.2">
      <c r="A748" s="94" t="s">
        <v>5323</v>
      </c>
      <c r="B748" s="87" t="s">
        <v>435</v>
      </c>
      <c r="C748" s="87" t="s">
        <v>5034</v>
      </c>
      <c r="D748" s="88">
        <v>0</v>
      </c>
      <c r="E748" s="89"/>
      <c r="F748" s="89"/>
      <c r="G748" s="87" t="str">
        <f t="shared" si="11"/>
        <v>213110400'= CONTAS A PAGAR CREDORES NACIONAIS100000000027797268000152</v>
      </c>
      <c r="H748" s="87" t="str">
        <f>VLOOKUP(Tabela1[[#This Row],[CONCATENAR]],'Classificações - Demonstrações'!$A$5:$C$46003,2,)</f>
        <v>Fornecedores</v>
      </c>
      <c r="I748" s="87"/>
    </row>
    <row r="749" spans="1:9" ht="12.75" customHeight="1" x14ac:dyDescent="0.2">
      <c r="A749" s="94" t="s">
        <v>5323</v>
      </c>
      <c r="B749" s="87" t="s">
        <v>435</v>
      </c>
      <c r="C749" s="87" t="s">
        <v>478</v>
      </c>
      <c r="D749" s="88">
        <v>363378.3</v>
      </c>
      <c r="E749" s="89"/>
      <c r="F749" s="89"/>
      <c r="G749" s="87" t="str">
        <f t="shared" si="11"/>
        <v>213110400'= CONTAS A PAGAR CREDORES NACIONAIS100000000027830827000189</v>
      </c>
      <c r="H749" s="87" t="str">
        <f>VLOOKUP(Tabela1[[#This Row],[CONCATENAR]],'Classificações - Demonstrações'!$A$5:$C$46003,2,)</f>
        <v>Fornecedores</v>
      </c>
      <c r="I749" s="87"/>
    </row>
    <row r="750" spans="1:9" ht="12.75" customHeight="1" x14ac:dyDescent="0.2">
      <c r="A750" s="94" t="s">
        <v>5323</v>
      </c>
      <c r="B750" s="87" t="s">
        <v>435</v>
      </c>
      <c r="C750" s="87" t="s">
        <v>479</v>
      </c>
      <c r="D750" s="88">
        <v>480</v>
      </c>
      <c r="E750" s="89"/>
      <c r="F750" s="89"/>
      <c r="G750" s="87" t="str">
        <f t="shared" si="11"/>
        <v>213110400'= CONTAS A PAGAR CREDORES NACIONAIS100000000027907518000160</v>
      </c>
      <c r="H750" s="87" t="str">
        <f>VLOOKUP(Tabela1[[#This Row],[CONCATENAR]],'Classificações - Demonstrações'!$A$5:$C$46003,2,)</f>
        <v>Fornecedores</v>
      </c>
      <c r="I750" s="87"/>
    </row>
    <row r="751" spans="1:9" ht="12.75" customHeight="1" x14ac:dyDescent="0.2">
      <c r="A751" s="94" t="s">
        <v>5323</v>
      </c>
      <c r="B751" s="87" t="s">
        <v>435</v>
      </c>
      <c r="C751" s="87" t="s">
        <v>480</v>
      </c>
      <c r="D751" s="88">
        <v>0</v>
      </c>
      <c r="E751" s="89"/>
      <c r="F751" s="89"/>
      <c r="G751" s="87" t="str">
        <f t="shared" si="11"/>
        <v>213110400'= CONTAS A PAGAR CREDORES NACIONAIS100000000028383198000159</v>
      </c>
      <c r="H751" s="87" t="str">
        <f>VLOOKUP(Tabela1[[#This Row],[CONCATENAR]],'Classificações - Demonstrações'!$A$5:$C$46003,2,)</f>
        <v>Fornecedores</v>
      </c>
      <c r="I751" s="87"/>
    </row>
    <row r="752" spans="1:9" ht="12.75" customHeight="1" x14ac:dyDescent="0.2">
      <c r="A752" s="94" t="s">
        <v>5323</v>
      </c>
      <c r="B752" s="87" t="s">
        <v>435</v>
      </c>
      <c r="C752" s="87" t="s">
        <v>4646</v>
      </c>
      <c r="D752" s="88">
        <v>0</v>
      </c>
      <c r="E752" s="89"/>
      <c r="F752" s="89"/>
      <c r="G752" s="87" t="str">
        <f t="shared" si="11"/>
        <v>213110400'= CONTAS A PAGAR CREDORES NACIONAIS100000000028503351000134</v>
      </c>
      <c r="H752" s="87" t="str">
        <f>VLOOKUP(Tabela1[[#This Row],[CONCATENAR]],'Classificações - Demonstrações'!$A$5:$C$46003,2,)</f>
        <v>Fornecedores</v>
      </c>
      <c r="I752" s="87"/>
    </row>
    <row r="753" spans="1:9" ht="12.75" customHeight="1" x14ac:dyDescent="0.2">
      <c r="A753" s="94" t="s">
        <v>5323</v>
      </c>
      <c r="B753" s="87" t="s">
        <v>435</v>
      </c>
      <c r="C753" s="87" t="s">
        <v>481</v>
      </c>
      <c r="D753" s="88">
        <v>2434.5</v>
      </c>
      <c r="E753" s="89"/>
      <c r="F753" s="89"/>
      <c r="G753" s="87" t="str">
        <f t="shared" si="11"/>
        <v>213110400'= CONTAS A PAGAR CREDORES NACIONAIS100000000028703478000105</v>
      </c>
      <c r="H753" s="87" t="str">
        <f>VLOOKUP(Tabela1[[#This Row],[CONCATENAR]],'Classificações - Demonstrações'!$A$5:$C$46003,2,)</f>
        <v>Fornecedores</v>
      </c>
      <c r="I753" s="87"/>
    </row>
    <row r="754" spans="1:9" ht="12.75" customHeight="1" x14ac:dyDescent="0.2">
      <c r="A754" s="94" t="s">
        <v>5323</v>
      </c>
      <c r="B754" s="87" t="s">
        <v>435</v>
      </c>
      <c r="C754" s="87" t="s">
        <v>6092</v>
      </c>
      <c r="D754" s="88">
        <v>0</v>
      </c>
      <c r="E754" s="89"/>
      <c r="F754" s="89"/>
      <c r="G754" s="87" t="str">
        <f t="shared" si="11"/>
        <v>213110400'= CONTAS A PAGAR CREDORES NACIONAIS100000000029080486000105</v>
      </c>
      <c r="H754" s="87" t="str">
        <f>VLOOKUP(Tabela1[[#This Row],[CONCATENAR]],'Classificações - Demonstrações'!$A$5:$C$46003,2,)</f>
        <v>Fornecedores</v>
      </c>
      <c r="I754" s="87"/>
    </row>
    <row r="755" spans="1:9" ht="12.75" customHeight="1" x14ac:dyDescent="0.2">
      <c r="A755" s="94" t="s">
        <v>5323</v>
      </c>
      <c r="B755" s="87" t="s">
        <v>435</v>
      </c>
      <c r="C755" s="87" t="s">
        <v>4775</v>
      </c>
      <c r="D755" s="88">
        <v>6816</v>
      </c>
      <c r="E755" s="89"/>
      <c r="F755" s="89"/>
      <c r="G755" s="87" t="str">
        <f t="shared" si="11"/>
        <v>213110400'= CONTAS A PAGAR CREDORES NACIONAIS100000000029592087000115</v>
      </c>
      <c r="H755" s="87" t="str">
        <f>VLOOKUP(Tabela1[[#This Row],[CONCATENAR]],'Classificações - Demonstrações'!$A$5:$C$46003,2,)</f>
        <v>Fornecedores</v>
      </c>
      <c r="I755" s="87"/>
    </row>
    <row r="756" spans="1:9" ht="12.75" customHeight="1" x14ac:dyDescent="0.2">
      <c r="A756" s="94" t="s">
        <v>5323</v>
      </c>
      <c r="B756" s="87" t="s">
        <v>435</v>
      </c>
      <c r="C756" s="87" t="s">
        <v>6093</v>
      </c>
      <c r="D756" s="88">
        <v>0</v>
      </c>
      <c r="E756" s="89"/>
      <c r="F756" s="89"/>
      <c r="G756" s="87" t="str">
        <f t="shared" si="11"/>
        <v>213110400'= CONTAS A PAGAR CREDORES NACIONAIS100000000030460011000115</v>
      </c>
      <c r="H756" s="87" t="str">
        <f>VLOOKUP(Tabela1[[#This Row],[CONCATENAR]],'Classificações - Demonstrações'!$A$5:$C$46003,2,)</f>
        <v>Fornecedores</v>
      </c>
      <c r="I756" s="87"/>
    </row>
    <row r="757" spans="1:9" ht="12.75" customHeight="1" x14ac:dyDescent="0.2">
      <c r="A757" s="94" t="s">
        <v>5323</v>
      </c>
      <c r="B757" s="87" t="s">
        <v>435</v>
      </c>
      <c r="C757" s="87" t="s">
        <v>6094</v>
      </c>
      <c r="D757" s="88">
        <v>0</v>
      </c>
      <c r="E757" s="89"/>
      <c r="F757" s="89"/>
      <c r="G757" s="87" t="str">
        <f t="shared" si="11"/>
        <v>213110400'= CONTAS A PAGAR CREDORES NACIONAIS100000000030933311000174</v>
      </c>
      <c r="H757" s="87" t="str">
        <f>VLOOKUP(Tabela1[[#This Row],[CONCATENAR]],'Classificações - Demonstrações'!$A$5:$C$46003,2,)</f>
        <v>Fornecedores</v>
      </c>
      <c r="I757" s="87"/>
    </row>
    <row r="758" spans="1:9" ht="12.75" customHeight="1" x14ac:dyDescent="0.2">
      <c r="A758" s="94" t="s">
        <v>5323</v>
      </c>
      <c r="B758" s="87" t="s">
        <v>435</v>
      </c>
      <c r="C758" s="87" t="s">
        <v>5560</v>
      </c>
      <c r="D758" s="88">
        <v>13865</v>
      </c>
      <c r="E758" s="89"/>
      <c r="F758" s="89"/>
      <c r="G758" s="87" t="str">
        <f t="shared" si="11"/>
        <v>213110400'= CONTAS A PAGAR CREDORES NACIONAIS100000000031291390000200</v>
      </c>
      <c r="H758" s="87" t="str">
        <f>VLOOKUP(Tabela1[[#This Row],[CONCATENAR]],'Classificações - Demonstrações'!$A$5:$C$46003,2,)</f>
        <v>Fornecedores</v>
      </c>
      <c r="I758" s="87"/>
    </row>
    <row r="759" spans="1:9" ht="12.75" customHeight="1" x14ac:dyDescent="0.2">
      <c r="A759" s="94" t="s">
        <v>5323</v>
      </c>
      <c r="B759" s="87" t="s">
        <v>435</v>
      </c>
      <c r="C759" s="87" t="s">
        <v>482</v>
      </c>
      <c r="D759" s="88">
        <v>0</v>
      </c>
      <c r="E759" s="89"/>
      <c r="F759" s="89"/>
      <c r="G759" s="87" t="str">
        <f t="shared" si="11"/>
        <v>213110400'= CONTAS A PAGAR CREDORES NACIONAIS100000000031888692000180</v>
      </c>
      <c r="H759" s="87" t="str">
        <f>VLOOKUP(Tabela1[[#This Row],[CONCATENAR]],'Classificações - Demonstrações'!$A$5:$C$46003,2,)</f>
        <v>Fornecedores</v>
      </c>
      <c r="I759" s="87"/>
    </row>
    <row r="760" spans="1:9" ht="12.75" customHeight="1" x14ac:dyDescent="0.2">
      <c r="A760" s="94" t="s">
        <v>5323</v>
      </c>
      <c r="B760" s="87" t="s">
        <v>435</v>
      </c>
      <c r="C760" s="87" t="s">
        <v>6095</v>
      </c>
      <c r="D760" s="88">
        <v>0</v>
      </c>
      <c r="E760" s="89"/>
      <c r="F760" s="89"/>
      <c r="G760" s="87" t="str">
        <f t="shared" si="11"/>
        <v>213110400'= CONTAS A PAGAR CREDORES NACIONAIS100000000031954621000138</v>
      </c>
      <c r="H760" s="87" t="str">
        <f>VLOOKUP(Tabela1[[#This Row],[CONCATENAR]],'Classificações - Demonstrações'!$A$5:$C$46003,2,)</f>
        <v>Fornecedores</v>
      </c>
      <c r="I760" s="87"/>
    </row>
    <row r="761" spans="1:9" ht="12.75" customHeight="1" x14ac:dyDescent="0.2">
      <c r="A761" s="94" t="s">
        <v>5323</v>
      </c>
      <c r="B761" s="87" t="s">
        <v>435</v>
      </c>
      <c r="C761" s="87" t="s">
        <v>483</v>
      </c>
      <c r="D761" s="88">
        <v>160073.47</v>
      </c>
      <c r="E761" s="89"/>
      <c r="F761" s="89"/>
      <c r="G761" s="87" t="str">
        <f t="shared" si="11"/>
        <v>213110400'= CONTAS A PAGAR CREDORES NACIONAIS100000000032125858000179</v>
      </c>
      <c r="H761" s="87" t="str">
        <f>VLOOKUP(Tabela1[[#This Row],[CONCATENAR]],'Classificações - Demonstrações'!$A$5:$C$46003,2,)</f>
        <v>Fornecedores</v>
      </c>
      <c r="I761" s="87"/>
    </row>
    <row r="762" spans="1:9" ht="12.75" customHeight="1" x14ac:dyDescent="0.2">
      <c r="A762" s="94" t="s">
        <v>5323</v>
      </c>
      <c r="B762" s="87" t="s">
        <v>435</v>
      </c>
      <c r="C762" s="87" t="s">
        <v>4635</v>
      </c>
      <c r="D762" s="88">
        <v>2081.7199999999998</v>
      </c>
      <c r="E762" s="89"/>
      <c r="F762" s="89"/>
      <c r="G762" s="87" t="str">
        <f t="shared" si="11"/>
        <v>213110400'= CONTAS A PAGAR CREDORES NACIONAIS100000000032185480000875</v>
      </c>
      <c r="H762" s="87" t="str">
        <f>VLOOKUP(Tabela1[[#This Row],[CONCATENAR]],'Classificações - Demonstrações'!$A$5:$C$46003,2,)</f>
        <v>Fornecedores</v>
      </c>
      <c r="I762" s="87"/>
    </row>
    <row r="763" spans="1:9" ht="12.75" customHeight="1" x14ac:dyDescent="0.2">
      <c r="A763" s="94" t="s">
        <v>5323</v>
      </c>
      <c r="B763" s="87" t="s">
        <v>435</v>
      </c>
      <c r="C763" s="87" t="s">
        <v>4636</v>
      </c>
      <c r="D763" s="88">
        <v>0</v>
      </c>
      <c r="E763" s="89"/>
      <c r="F763" s="89"/>
      <c r="G763" s="87" t="str">
        <f t="shared" si="11"/>
        <v>213110400'= CONTAS A PAGAR CREDORES NACIONAIS100000000032223836000141</v>
      </c>
      <c r="H763" s="87" t="str">
        <f>VLOOKUP(Tabela1[[#This Row],[CONCATENAR]],'Classificações - Demonstrações'!$A$5:$C$46003,2,)</f>
        <v>Fornecedores</v>
      </c>
      <c r="I763" s="87"/>
    </row>
    <row r="764" spans="1:9" ht="12.75" customHeight="1" x14ac:dyDescent="0.2">
      <c r="A764" s="94" t="s">
        <v>5323</v>
      </c>
      <c r="B764" s="87" t="s">
        <v>435</v>
      </c>
      <c r="C764" s="87" t="s">
        <v>5144</v>
      </c>
      <c r="D764" s="88">
        <v>0</v>
      </c>
      <c r="E764" s="89"/>
      <c r="F764" s="89"/>
      <c r="G764" s="87" t="str">
        <f t="shared" si="11"/>
        <v>213110400'= CONTAS A PAGAR CREDORES NACIONAIS100000000032485150000129</v>
      </c>
      <c r="H764" s="87" t="str">
        <f>VLOOKUP(Tabela1[[#This Row],[CONCATENAR]],'Classificações - Demonstrações'!$A$5:$C$46003,2,)</f>
        <v>Fornecedores</v>
      </c>
      <c r="I764" s="87"/>
    </row>
    <row r="765" spans="1:9" ht="12.75" customHeight="1" x14ac:dyDescent="0.2">
      <c r="A765" s="94" t="s">
        <v>5323</v>
      </c>
      <c r="B765" s="87" t="s">
        <v>435</v>
      </c>
      <c r="C765" s="87" t="s">
        <v>4776</v>
      </c>
      <c r="D765" s="88">
        <v>0</v>
      </c>
      <c r="E765" s="89"/>
      <c r="F765" s="89"/>
      <c r="G765" s="87" t="str">
        <f t="shared" si="11"/>
        <v>213110400'= CONTAS A PAGAR CREDORES NACIONAIS100000000032865668000198</v>
      </c>
      <c r="H765" s="87" t="str">
        <f>VLOOKUP(Tabela1[[#This Row],[CONCATENAR]],'Classificações - Demonstrações'!$A$5:$C$46003,2,)</f>
        <v>Fornecedores</v>
      </c>
      <c r="I765" s="87"/>
    </row>
    <row r="766" spans="1:9" ht="12.75" customHeight="1" x14ac:dyDescent="0.2">
      <c r="A766" s="94" t="s">
        <v>5323</v>
      </c>
      <c r="B766" s="87" t="s">
        <v>435</v>
      </c>
      <c r="C766" s="87" t="s">
        <v>5669</v>
      </c>
      <c r="D766" s="88">
        <v>0</v>
      </c>
      <c r="E766" s="89"/>
      <c r="F766" s="89"/>
      <c r="G766" s="87" t="str">
        <f t="shared" si="11"/>
        <v>213110400'= CONTAS A PAGAR CREDORES NACIONAIS100000000033318780000171</v>
      </c>
      <c r="H766" s="87" t="str">
        <f>VLOOKUP(Tabela1[[#This Row],[CONCATENAR]],'Classificações - Demonstrações'!$A$5:$C$46003,2,)</f>
        <v>Fornecedores</v>
      </c>
      <c r="I766" s="87"/>
    </row>
    <row r="767" spans="1:9" ht="12.75" customHeight="1" x14ac:dyDescent="0.2">
      <c r="A767" s="94" t="s">
        <v>5323</v>
      </c>
      <c r="B767" s="87" t="s">
        <v>435</v>
      </c>
      <c r="C767" s="87" t="s">
        <v>484</v>
      </c>
      <c r="D767" s="88">
        <v>993531.16</v>
      </c>
      <c r="E767" s="89"/>
      <c r="F767" s="89"/>
      <c r="G767" s="87" t="str">
        <f t="shared" si="11"/>
        <v>213110400'= CONTAS A PAGAR CREDORES NACIONAIS100000000033337007000152</v>
      </c>
      <c r="H767" s="87" t="str">
        <f>VLOOKUP(Tabela1[[#This Row],[CONCATENAR]],'Classificações - Demonstrações'!$A$5:$C$46003,2,)</f>
        <v>Fornecedores</v>
      </c>
      <c r="I767" s="87"/>
    </row>
    <row r="768" spans="1:9" ht="12.75" customHeight="1" x14ac:dyDescent="0.2">
      <c r="A768" s="94" t="s">
        <v>5323</v>
      </c>
      <c r="B768" s="87" t="s">
        <v>435</v>
      </c>
      <c r="C768" s="87" t="s">
        <v>485</v>
      </c>
      <c r="D768" s="88">
        <v>0</v>
      </c>
      <c r="E768" s="89"/>
      <c r="F768" s="89"/>
      <c r="G768" s="87" t="str">
        <f t="shared" si="11"/>
        <v>213110400'= CONTAS A PAGAR CREDORES NACIONAIS100000000033449007000144</v>
      </c>
      <c r="H768" s="87" t="str">
        <f>VLOOKUP(Tabela1[[#This Row],[CONCATENAR]],'Classificações - Demonstrações'!$A$5:$C$46003,2,)</f>
        <v>Fornecedores</v>
      </c>
      <c r="I768" s="87"/>
    </row>
    <row r="769" spans="1:9" ht="12.75" customHeight="1" x14ac:dyDescent="0.2">
      <c r="A769" s="94" t="s">
        <v>5323</v>
      </c>
      <c r="B769" s="87" t="s">
        <v>435</v>
      </c>
      <c r="C769" s="87" t="s">
        <v>486</v>
      </c>
      <c r="D769" s="88">
        <v>0</v>
      </c>
      <c r="E769" s="89"/>
      <c r="F769" s="89"/>
      <c r="G769" s="87" t="str">
        <f t="shared" si="11"/>
        <v>213110400'= CONTAS A PAGAR CREDORES NACIONAIS100000000033575585000127</v>
      </c>
      <c r="H769" s="87" t="str">
        <f>VLOOKUP(Tabela1[[#This Row],[CONCATENAR]],'Classificações - Demonstrações'!$A$5:$C$46003,2,)</f>
        <v>Fornecedores</v>
      </c>
      <c r="I769" s="87"/>
    </row>
    <row r="770" spans="1:9" ht="12.75" customHeight="1" x14ac:dyDescent="0.2">
      <c r="A770" s="94" t="s">
        <v>5323</v>
      </c>
      <c r="B770" s="87" t="s">
        <v>435</v>
      </c>
      <c r="C770" s="87" t="s">
        <v>4777</v>
      </c>
      <c r="D770" s="88">
        <v>0</v>
      </c>
      <c r="E770" s="89"/>
      <c r="F770" s="89"/>
      <c r="G770" s="87" t="str">
        <f t="shared" si="11"/>
        <v>213110400'= CONTAS A PAGAR CREDORES NACIONAIS100000000033641663000144</v>
      </c>
      <c r="H770" s="87" t="str">
        <f>VLOOKUP(Tabela1[[#This Row],[CONCATENAR]],'Classificações - Demonstrações'!$A$5:$C$46003,2,)</f>
        <v>Fornecedores</v>
      </c>
      <c r="I770" s="87"/>
    </row>
    <row r="771" spans="1:9" ht="12.75" customHeight="1" x14ac:dyDescent="0.2">
      <c r="A771" s="94" t="s">
        <v>5323</v>
      </c>
      <c r="B771" s="87" t="s">
        <v>435</v>
      </c>
      <c r="C771" s="87" t="s">
        <v>4778</v>
      </c>
      <c r="D771" s="88">
        <v>0</v>
      </c>
      <c r="E771" s="89"/>
      <c r="F771" s="89"/>
      <c r="G771" s="87" t="str">
        <f t="shared" si="11"/>
        <v>213110400'= CONTAS A PAGAR CREDORES NACIONAIS100000000033746475000180</v>
      </c>
      <c r="H771" s="87" t="str">
        <f>VLOOKUP(Tabela1[[#This Row],[CONCATENAR]],'Classificações - Demonstrações'!$A$5:$C$46003,2,)</f>
        <v>Fornecedores</v>
      </c>
      <c r="I771" s="87"/>
    </row>
    <row r="772" spans="1:9" ht="12.75" customHeight="1" x14ac:dyDescent="0.2">
      <c r="A772" s="94" t="s">
        <v>5323</v>
      </c>
      <c r="B772" s="87" t="s">
        <v>435</v>
      </c>
      <c r="C772" s="87" t="s">
        <v>487</v>
      </c>
      <c r="D772" s="88">
        <v>0</v>
      </c>
      <c r="E772" s="89"/>
      <c r="F772" s="89"/>
      <c r="G772" s="87" t="str">
        <f t="shared" si="11"/>
        <v>213110400'= CONTAS A PAGAR CREDORES NACIONAIS100000000034028316000294</v>
      </c>
      <c r="H772" s="87" t="str">
        <f>VLOOKUP(Tabela1[[#This Row],[CONCATENAR]],'Classificações - Demonstrações'!$A$5:$C$46003,2,)</f>
        <v>Fornecedores</v>
      </c>
      <c r="I772" s="87"/>
    </row>
    <row r="773" spans="1:9" ht="12.75" customHeight="1" x14ac:dyDescent="0.2">
      <c r="A773" s="94" t="s">
        <v>5323</v>
      </c>
      <c r="B773" s="87" t="s">
        <v>435</v>
      </c>
      <c r="C773" s="87" t="s">
        <v>5561</v>
      </c>
      <c r="D773" s="88">
        <v>0</v>
      </c>
      <c r="E773" s="89"/>
      <c r="F773" s="89"/>
      <c r="G773" s="87" t="str">
        <f t="shared" ref="G773:G836" si="12">CONCATENATE(A773,B773,C773)</f>
        <v>213110400'= CONTAS A PAGAR CREDORES NACIONAIS100000000035137403000161</v>
      </c>
      <c r="H773" s="87" t="str">
        <f>VLOOKUP(Tabela1[[#This Row],[CONCATENAR]],'Classificações - Demonstrações'!$A$5:$C$46003,2,)</f>
        <v>Fornecedores</v>
      </c>
      <c r="I773" s="87"/>
    </row>
    <row r="774" spans="1:9" ht="12.75" customHeight="1" x14ac:dyDescent="0.2">
      <c r="A774" s="94" t="s">
        <v>5323</v>
      </c>
      <c r="B774" s="87" t="s">
        <v>435</v>
      </c>
      <c r="C774" s="87" t="s">
        <v>488</v>
      </c>
      <c r="D774" s="88">
        <v>0</v>
      </c>
      <c r="E774" s="89"/>
      <c r="F774" s="89"/>
      <c r="G774" s="87" t="str">
        <f t="shared" si="12"/>
        <v>213110400'= CONTAS A PAGAR CREDORES NACIONAIS100000000035717282000127</v>
      </c>
      <c r="H774" s="87" t="str">
        <f>VLOOKUP(Tabela1[[#This Row],[CONCATENAR]],'Classificações - Demonstrações'!$A$5:$C$46003,2,)</f>
        <v>Fornecedores</v>
      </c>
      <c r="I774" s="87"/>
    </row>
    <row r="775" spans="1:9" ht="12.75" customHeight="1" x14ac:dyDescent="0.2">
      <c r="A775" s="94" t="s">
        <v>5323</v>
      </c>
      <c r="B775" s="87" t="s">
        <v>435</v>
      </c>
      <c r="C775" s="87" t="s">
        <v>5670</v>
      </c>
      <c r="D775" s="88">
        <v>58250</v>
      </c>
      <c r="E775" s="89"/>
      <c r="F775" s="89"/>
      <c r="G775" s="87" t="str">
        <f t="shared" si="12"/>
        <v>213110400'= CONTAS A PAGAR CREDORES NACIONAIS100000000035930513000186</v>
      </c>
      <c r="H775" s="87" t="str">
        <f>VLOOKUP(Tabela1[[#This Row],[CONCATENAR]],'Classificações - Demonstrações'!$A$5:$C$46003,2,)</f>
        <v>Fornecedores</v>
      </c>
      <c r="I775" s="87"/>
    </row>
    <row r="776" spans="1:9" ht="12.75" customHeight="1" x14ac:dyDescent="0.2">
      <c r="A776" s="94" t="s">
        <v>5323</v>
      </c>
      <c r="B776" s="87" t="s">
        <v>435</v>
      </c>
      <c r="C776" s="87" t="s">
        <v>4779</v>
      </c>
      <c r="D776" s="88">
        <v>5440.25</v>
      </c>
      <c r="E776" s="89"/>
      <c r="F776" s="89"/>
      <c r="G776" s="87" t="str">
        <f t="shared" si="12"/>
        <v>213110400'= CONTAS A PAGAR CREDORES NACIONAIS100000000036026560000162</v>
      </c>
      <c r="H776" s="87" t="str">
        <f>VLOOKUP(Tabela1[[#This Row],[CONCATENAR]],'Classificações - Demonstrações'!$A$5:$C$46003,2,)</f>
        <v>Fornecedores</v>
      </c>
      <c r="I776" s="87"/>
    </row>
    <row r="777" spans="1:9" ht="12.75" customHeight="1" x14ac:dyDescent="0.2">
      <c r="A777" s="94" t="s">
        <v>5323</v>
      </c>
      <c r="B777" s="87" t="s">
        <v>435</v>
      </c>
      <c r="C777" s="87" t="s">
        <v>489</v>
      </c>
      <c r="D777" s="88">
        <v>0</v>
      </c>
      <c r="E777" s="89"/>
      <c r="F777" s="89"/>
      <c r="G777" s="87" t="str">
        <f t="shared" si="12"/>
        <v>213110400'= CONTAS A PAGAR CREDORES NACIONAIS100000000036241685000105</v>
      </c>
      <c r="H777" s="87" t="str">
        <f>VLOOKUP(Tabela1[[#This Row],[CONCATENAR]],'Classificações - Demonstrações'!$A$5:$C$46003,2,)</f>
        <v>Fornecedores</v>
      </c>
      <c r="I777" s="87"/>
    </row>
    <row r="778" spans="1:9" ht="12.75" customHeight="1" x14ac:dyDescent="0.2">
      <c r="A778" s="94" t="s">
        <v>5323</v>
      </c>
      <c r="B778" s="87" t="s">
        <v>435</v>
      </c>
      <c r="C778" s="87" t="s">
        <v>4539</v>
      </c>
      <c r="D778" s="88">
        <v>0</v>
      </c>
      <c r="E778" s="89"/>
      <c r="F778" s="89"/>
      <c r="G778" s="87" t="str">
        <f t="shared" si="12"/>
        <v>213110400'= CONTAS A PAGAR CREDORES NACIONAIS100000000037032250000113</v>
      </c>
      <c r="H778" s="87" t="str">
        <f>VLOOKUP(Tabela1[[#This Row],[CONCATENAR]],'Classificações - Demonstrações'!$A$5:$C$46003,2,)</f>
        <v>Fornecedores</v>
      </c>
      <c r="I778" s="87"/>
    </row>
    <row r="779" spans="1:9" ht="12.75" customHeight="1" x14ac:dyDescent="0.2">
      <c r="A779" s="94" t="s">
        <v>5323</v>
      </c>
      <c r="B779" s="87" t="s">
        <v>435</v>
      </c>
      <c r="C779" s="87" t="s">
        <v>490</v>
      </c>
      <c r="D779" s="88">
        <v>0</v>
      </c>
      <c r="E779" s="89"/>
      <c r="F779" s="89"/>
      <c r="G779" s="87" t="str">
        <f t="shared" si="12"/>
        <v>213110400'= CONTAS A PAGAR CREDORES NACIONAIS100000000038503861000165</v>
      </c>
      <c r="H779" s="87" t="str">
        <f>VLOOKUP(Tabela1[[#This Row],[CONCATENAR]],'Classificações - Demonstrações'!$A$5:$C$46003,2,)</f>
        <v>Fornecedores</v>
      </c>
      <c r="I779" s="87"/>
    </row>
    <row r="780" spans="1:9" ht="12.75" customHeight="1" x14ac:dyDescent="0.2">
      <c r="A780" s="94" t="s">
        <v>5323</v>
      </c>
      <c r="B780" s="87" t="s">
        <v>435</v>
      </c>
      <c r="C780" s="87" t="s">
        <v>491</v>
      </c>
      <c r="D780" s="88">
        <v>0</v>
      </c>
      <c r="E780" s="89"/>
      <c r="F780" s="89"/>
      <c r="G780" s="87" t="str">
        <f t="shared" si="12"/>
        <v>213110400'= CONTAS A PAGAR CREDORES NACIONAIS100000000039162235000115</v>
      </c>
      <c r="H780" s="87" t="str">
        <f>VLOOKUP(Tabela1[[#This Row],[CONCATENAR]],'Classificações - Demonstrações'!$A$5:$C$46003,2,)</f>
        <v>Fornecedores</v>
      </c>
      <c r="I780" s="87"/>
    </row>
    <row r="781" spans="1:9" ht="12.75" customHeight="1" x14ac:dyDescent="0.2">
      <c r="A781" s="94" t="s">
        <v>5323</v>
      </c>
      <c r="B781" s="87" t="s">
        <v>435</v>
      </c>
      <c r="C781" s="87" t="s">
        <v>6096</v>
      </c>
      <c r="D781" s="88">
        <v>0</v>
      </c>
      <c r="E781" s="89"/>
      <c r="F781" s="89"/>
      <c r="G781" s="87" t="str">
        <f t="shared" si="12"/>
        <v>213110400'= CONTAS A PAGAR CREDORES NACIONAIS100000000039545634000165</v>
      </c>
      <c r="H781" s="87" t="str">
        <f>VLOOKUP(Tabela1[[#This Row],[CONCATENAR]],'Classificações - Demonstrações'!$A$5:$C$46003,2,)</f>
        <v>Fornecedores</v>
      </c>
      <c r="I781" s="87"/>
    </row>
    <row r="782" spans="1:9" ht="12.75" customHeight="1" x14ac:dyDescent="0.2">
      <c r="A782" s="94" t="s">
        <v>5323</v>
      </c>
      <c r="B782" s="87" t="s">
        <v>435</v>
      </c>
      <c r="C782" s="87" t="s">
        <v>492</v>
      </c>
      <c r="D782" s="88">
        <v>0</v>
      </c>
      <c r="E782" s="89"/>
      <c r="F782" s="89"/>
      <c r="G782" s="87" t="str">
        <f t="shared" si="12"/>
        <v>213110400'= CONTAS A PAGAR CREDORES NACIONAIS100000000040263170000850</v>
      </c>
      <c r="H782" s="87" t="str">
        <f>VLOOKUP(Tabela1[[#This Row],[CONCATENAR]],'Classificações - Demonstrações'!$A$5:$C$46003,2,)</f>
        <v>Fornecedores</v>
      </c>
      <c r="I782" s="87"/>
    </row>
    <row r="783" spans="1:9" ht="12.75" customHeight="1" x14ac:dyDescent="0.2">
      <c r="A783" s="94" t="s">
        <v>5323</v>
      </c>
      <c r="B783" s="87" t="s">
        <v>435</v>
      </c>
      <c r="C783" s="87" t="s">
        <v>6097</v>
      </c>
      <c r="D783" s="88">
        <v>0</v>
      </c>
      <c r="E783" s="89"/>
      <c r="F783" s="89"/>
      <c r="G783" s="87" t="str">
        <f t="shared" si="12"/>
        <v>213110400'= CONTAS A PAGAR CREDORES NACIONAIS100000000040395162000190</v>
      </c>
      <c r="H783" s="87" t="str">
        <f>VLOOKUP(Tabela1[[#This Row],[CONCATENAR]],'Classificações - Demonstrações'!$A$5:$C$46003,2,)</f>
        <v>Fornecedores</v>
      </c>
      <c r="I783" s="87"/>
    </row>
    <row r="784" spans="1:9" ht="12.75" customHeight="1" x14ac:dyDescent="0.2">
      <c r="A784" s="94" t="s">
        <v>5323</v>
      </c>
      <c r="B784" s="87" t="s">
        <v>435</v>
      </c>
      <c r="C784" s="87" t="s">
        <v>6098</v>
      </c>
      <c r="D784" s="88">
        <v>0</v>
      </c>
      <c r="E784" s="89"/>
      <c r="F784" s="89"/>
      <c r="G784" s="87" t="str">
        <f t="shared" si="12"/>
        <v>213110400'= CONTAS A PAGAR CREDORES NACIONAIS100000000041337201000166</v>
      </c>
      <c r="H784" s="87" t="str">
        <f>VLOOKUP(Tabela1[[#This Row],[CONCATENAR]],'Classificações - Demonstrações'!$A$5:$C$46003,2,)</f>
        <v>Fornecedores</v>
      </c>
      <c r="I784" s="87"/>
    </row>
    <row r="785" spans="1:9" ht="12.75" customHeight="1" x14ac:dyDescent="0.2">
      <c r="A785" s="94" t="s">
        <v>5323</v>
      </c>
      <c r="B785" s="87" t="s">
        <v>435</v>
      </c>
      <c r="C785" s="87" t="s">
        <v>493</v>
      </c>
      <c r="D785" s="88">
        <v>0</v>
      </c>
      <c r="E785" s="89"/>
      <c r="F785" s="89"/>
      <c r="G785" s="87" t="str">
        <f t="shared" si="12"/>
        <v>213110400'= CONTAS A PAGAR CREDORES NACIONAIS100000000042292007000174</v>
      </c>
      <c r="H785" s="87" t="str">
        <f>VLOOKUP(Tabela1[[#This Row],[CONCATENAR]],'Classificações - Demonstrações'!$A$5:$C$46003,2,)</f>
        <v>Fornecedores</v>
      </c>
      <c r="I785" s="87"/>
    </row>
    <row r="786" spans="1:9" ht="12.75" customHeight="1" x14ac:dyDescent="0.2">
      <c r="A786" s="94" t="s">
        <v>5323</v>
      </c>
      <c r="B786" s="87" t="s">
        <v>435</v>
      </c>
      <c r="C786" s="87" t="s">
        <v>4780</v>
      </c>
      <c r="D786" s="88">
        <v>0</v>
      </c>
      <c r="E786" s="89"/>
      <c r="F786" s="89"/>
      <c r="G786" s="87" t="str">
        <f t="shared" si="12"/>
        <v>213110400'= CONTAS A PAGAR CREDORES NACIONAIS100000000042366302000128</v>
      </c>
      <c r="H786" s="87" t="str">
        <f>VLOOKUP(Tabela1[[#This Row],[CONCATENAR]],'Classificações - Demonstrações'!$A$5:$C$46003,2,)</f>
        <v>Fornecedores</v>
      </c>
      <c r="I786" s="87"/>
    </row>
    <row r="787" spans="1:9" ht="12.75" customHeight="1" x14ac:dyDescent="0.2">
      <c r="A787" s="94" t="s">
        <v>5323</v>
      </c>
      <c r="B787" s="87" t="s">
        <v>435</v>
      </c>
      <c r="C787" s="87" t="s">
        <v>6099</v>
      </c>
      <c r="D787" s="88">
        <v>0</v>
      </c>
      <c r="E787" s="89"/>
      <c r="F787" s="89"/>
      <c r="G787" s="87" t="str">
        <f t="shared" si="12"/>
        <v>213110400'= CONTAS A PAGAR CREDORES NACIONAIS100000000043093948000141</v>
      </c>
      <c r="H787" s="87" t="str">
        <f>VLOOKUP(Tabela1[[#This Row],[CONCATENAR]],'Classificações - Demonstrações'!$A$5:$C$46003,2,)</f>
        <v>Fornecedores</v>
      </c>
      <c r="I787" s="87"/>
    </row>
    <row r="788" spans="1:9" ht="12.75" customHeight="1" x14ac:dyDescent="0.2">
      <c r="A788" s="94" t="s">
        <v>5323</v>
      </c>
      <c r="B788" s="87" t="s">
        <v>435</v>
      </c>
      <c r="C788" s="87" t="s">
        <v>494</v>
      </c>
      <c r="D788" s="88">
        <v>0</v>
      </c>
      <c r="E788" s="89"/>
      <c r="F788" s="89"/>
      <c r="G788" s="87" t="str">
        <f t="shared" si="12"/>
        <v>213110400'= CONTAS A PAGAR CREDORES NACIONAIS100000000043197792000220</v>
      </c>
      <c r="H788" s="87" t="str">
        <f>VLOOKUP(Tabela1[[#This Row],[CONCATENAR]],'Classificações - Demonstrações'!$A$5:$C$46003,2,)</f>
        <v>Fornecedores</v>
      </c>
      <c r="I788" s="87"/>
    </row>
    <row r="789" spans="1:9" ht="12.75" customHeight="1" x14ac:dyDescent="0.2">
      <c r="A789" s="94" t="s">
        <v>5323</v>
      </c>
      <c r="B789" s="87" t="s">
        <v>435</v>
      </c>
      <c r="C789" s="87" t="s">
        <v>495</v>
      </c>
      <c r="D789" s="88">
        <v>0</v>
      </c>
      <c r="E789" s="89"/>
      <c r="F789" s="89"/>
      <c r="G789" s="87" t="str">
        <f t="shared" si="12"/>
        <v>213110400'= CONTAS A PAGAR CREDORES NACIONAIS100000000043843358000512</v>
      </c>
      <c r="H789" s="87" t="str">
        <f>VLOOKUP(Tabela1[[#This Row],[CONCATENAR]],'Classificações - Demonstrações'!$A$5:$C$46003,2,)</f>
        <v>Fornecedores</v>
      </c>
      <c r="I789" s="87"/>
    </row>
    <row r="790" spans="1:9" ht="12.75" customHeight="1" x14ac:dyDescent="0.2">
      <c r="A790" s="94" t="s">
        <v>5323</v>
      </c>
      <c r="B790" s="87" t="s">
        <v>435</v>
      </c>
      <c r="C790" s="87" t="s">
        <v>4540</v>
      </c>
      <c r="D790" s="88">
        <v>0</v>
      </c>
      <c r="E790" s="89"/>
      <c r="F790" s="89"/>
      <c r="G790" s="87" t="str">
        <f t="shared" si="12"/>
        <v>213110400'= CONTAS A PAGAR CREDORES NACIONAIS100000000043854777000126</v>
      </c>
      <c r="H790" s="87" t="str">
        <f>VLOOKUP(Tabela1[[#This Row],[CONCATENAR]],'Classificações - Demonstrações'!$A$5:$C$46003,2,)</f>
        <v>Fornecedores</v>
      </c>
      <c r="I790" s="87"/>
    </row>
    <row r="791" spans="1:9" ht="12.75" customHeight="1" x14ac:dyDescent="0.2">
      <c r="A791" s="94" t="s">
        <v>5323</v>
      </c>
      <c r="B791" s="87" t="s">
        <v>435</v>
      </c>
      <c r="C791" s="87" t="s">
        <v>4781</v>
      </c>
      <c r="D791" s="88">
        <v>0</v>
      </c>
      <c r="E791" s="89"/>
      <c r="F791" s="89"/>
      <c r="G791" s="87" t="str">
        <f t="shared" si="12"/>
        <v>213110400'= CONTAS A PAGAR CREDORES NACIONAIS100000000043919968000986</v>
      </c>
      <c r="H791" s="87" t="str">
        <f>VLOOKUP(Tabela1[[#This Row],[CONCATENAR]],'Classificações - Demonstrações'!$A$5:$C$46003,2,)</f>
        <v>Fornecedores</v>
      </c>
      <c r="I791" s="87"/>
    </row>
    <row r="792" spans="1:9" ht="12.75" customHeight="1" x14ac:dyDescent="0.2">
      <c r="A792" s="94" t="s">
        <v>5323</v>
      </c>
      <c r="B792" s="87" t="s">
        <v>435</v>
      </c>
      <c r="C792" s="87" t="s">
        <v>4637</v>
      </c>
      <c r="D792" s="88">
        <v>0</v>
      </c>
      <c r="E792" s="89"/>
      <c r="F792" s="89"/>
      <c r="G792" s="87" t="str">
        <f t="shared" si="12"/>
        <v>213110400'= CONTAS A PAGAR CREDORES NACIONAIS100000000044073971000137</v>
      </c>
      <c r="H792" s="87" t="str">
        <f>VLOOKUP(Tabela1[[#This Row],[CONCATENAR]],'Classificações - Demonstrações'!$A$5:$C$46003,2,)</f>
        <v>Fornecedores</v>
      </c>
      <c r="I792" s="87"/>
    </row>
    <row r="793" spans="1:9" ht="12.75" customHeight="1" x14ac:dyDescent="0.2">
      <c r="A793" s="94" t="s">
        <v>5323</v>
      </c>
      <c r="B793" s="87" t="s">
        <v>435</v>
      </c>
      <c r="C793" s="87" t="s">
        <v>6100</v>
      </c>
      <c r="D793" s="88">
        <v>0</v>
      </c>
      <c r="E793" s="89"/>
      <c r="F793" s="89"/>
      <c r="G793" s="87" t="str">
        <f t="shared" si="12"/>
        <v>213110400'= CONTAS A PAGAR CREDORES NACIONAIS100000000044417768000130</v>
      </c>
      <c r="H793" s="87" t="str">
        <f>VLOOKUP(Tabela1[[#This Row],[CONCATENAR]],'Classificações - Demonstrações'!$A$5:$C$46003,2,)</f>
        <v>Fornecedores</v>
      </c>
      <c r="I793" s="87"/>
    </row>
    <row r="794" spans="1:9" ht="12.75" customHeight="1" x14ac:dyDescent="0.2">
      <c r="A794" s="94" t="s">
        <v>5323</v>
      </c>
      <c r="B794" s="87" t="s">
        <v>435</v>
      </c>
      <c r="C794" s="87" t="s">
        <v>6101</v>
      </c>
      <c r="D794" s="88">
        <v>0</v>
      </c>
      <c r="E794" s="89"/>
      <c r="F794" s="89"/>
      <c r="G794" s="87" t="str">
        <f t="shared" si="12"/>
        <v>213110400'= CONTAS A PAGAR CREDORES NACIONAIS100000000044825501000263</v>
      </c>
      <c r="H794" s="87" t="str">
        <f>VLOOKUP(Tabela1[[#This Row],[CONCATENAR]],'Classificações - Demonstrações'!$A$5:$C$46003,2,)</f>
        <v>Fornecedores</v>
      </c>
      <c r="I794" s="87"/>
    </row>
    <row r="795" spans="1:9" ht="12.75" customHeight="1" x14ac:dyDescent="0.2">
      <c r="A795" s="94" t="s">
        <v>5323</v>
      </c>
      <c r="B795" s="87" t="s">
        <v>435</v>
      </c>
      <c r="C795" s="87" t="s">
        <v>4782</v>
      </c>
      <c r="D795" s="88">
        <v>34367</v>
      </c>
      <c r="E795" s="89"/>
      <c r="F795" s="89"/>
      <c r="G795" s="87" t="str">
        <f t="shared" si="12"/>
        <v>213110400'= CONTAS A PAGAR CREDORES NACIONAIS100000000045872579000110</v>
      </c>
      <c r="H795" s="87" t="str">
        <f>VLOOKUP(Tabela1[[#This Row],[CONCATENAR]],'Classificações - Demonstrações'!$A$5:$C$46003,2,)</f>
        <v>Fornecedores</v>
      </c>
      <c r="I795" s="87"/>
    </row>
    <row r="796" spans="1:9" ht="12.75" customHeight="1" x14ac:dyDescent="0.2">
      <c r="A796" s="94" t="s">
        <v>5323</v>
      </c>
      <c r="B796" s="87" t="s">
        <v>435</v>
      </c>
      <c r="C796" s="87" t="s">
        <v>6102</v>
      </c>
      <c r="D796" s="88">
        <v>0</v>
      </c>
      <c r="E796" s="89"/>
      <c r="F796" s="89"/>
      <c r="G796" s="87" t="str">
        <f t="shared" si="12"/>
        <v>213110400'= CONTAS A PAGAR CREDORES NACIONAIS100000000046359865000140</v>
      </c>
      <c r="H796" s="87" t="str">
        <f>VLOOKUP(Tabela1[[#This Row],[CONCATENAR]],'Classificações - Demonstrações'!$A$5:$C$46003,2,)</f>
        <v>Fornecedores</v>
      </c>
      <c r="I796" s="87"/>
    </row>
    <row r="797" spans="1:9" ht="12.75" customHeight="1" x14ac:dyDescent="0.2">
      <c r="A797" s="94" t="s">
        <v>5323</v>
      </c>
      <c r="B797" s="87" t="s">
        <v>435</v>
      </c>
      <c r="C797" s="87" t="s">
        <v>496</v>
      </c>
      <c r="D797" s="88">
        <v>0</v>
      </c>
      <c r="E797" s="89"/>
      <c r="F797" s="89"/>
      <c r="G797" s="87" t="str">
        <f t="shared" si="12"/>
        <v>213110400'= CONTAS A PAGAR CREDORES NACIONAIS100000000046390209000100</v>
      </c>
      <c r="H797" s="87" t="str">
        <f>VLOOKUP(Tabela1[[#This Row],[CONCATENAR]],'Classificações - Demonstrações'!$A$5:$C$46003,2,)</f>
        <v>Fornecedores</v>
      </c>
      <c r="I797" s="87"/>
    </row>
    <row r="798" spans="1:9" ht="12.75" customHeight="1" x14ac:dyDescent="0.2">
      <c r="A798" s="94" t="s">
        <v>5323</v>
      </c>
      <c r="B798" s="87" t="s">
        <v>435</v>
      </c>
      <c r="C798" s="87" t="s">
        <v>5562</v>
      </c>
      <c r="D798" s="88">
        <v>0</v>
      </c>
      <c r="E798" s="89"/>
      <c r="F798" s="89"/>
      <c r="G798" s="87" t="str">
        <f t="shared" si="12"/>
        <v>213110400'= CONTAS A PAGAR CREDORES NACIONAIS100000000047866934000174</v>
      </c>
      <c r="H798" s="87" t="str">
        <f>VLOOKUP(Tabela1[[#This Row],[CONCATENAR]],'Classificações - Demonstrações'!$A$5:$C$46003,2,)</f>
        <v>Fornecedores</v>
      </c>
      <c r="I798" s="87"/>
    </row>
    <row r="799" spans="1:9" ht="12.75" customHeight="1" x14ac:dyDescent="0.2">
      <c r="A799" s="94" t="s">
        <v>5323</v>
      </c>
      <c r="B799" s="87" t="s">
        <v>435</v>
      </c>
      <c r="C799" s="87" t="s">
        <v>6103</v>
      </c>
      <c r="D799" s="88">
        <v>0</v>
      </c>
      <c r="E799" s="89"/>
      <c r="F799" s="89"/>
      <c r="G799" s="87" t="str">
        <f t="shared" si="12"/>
        <v>213110400'= CONTAS A PAGAR CREDORES NACIONAIS100000000047876552000121</v>
      </c>
      <c r="H799" s="87" t="str">
        <f>VLOOKUP(Tabela1[[#This Row],[CONCATENAR]],'Classificações - Demonstrações'!$A$5:$C$46003,2,)</f>
        <v>Fornecedores</v>
      </c>
      <c r="I799" s="87"/>
    </row>
    <row r="800" spans="1:9" ht="12.75" customHeight="1" x14ac:dyDescent="0.2">
      <c r="A800" s="94" t="s">
        <v>5323</v>
      </c>
      <c r="B800" s="87" t="s">
        <v>435</v>
      </c>
      <c r="C800" s="87" t="s">
        <v>5671</v>
      </c>
      <c r="D800" s="88">
        <v>0</v>
      </c>
      <c r="E800" s="89"/>
      <c r="F800" s="89"/>
      <c r="G800" s="87" t="str">
        <f t="shared" si="12"/>
        <v>213110400'= CONTAS A PAGAR CREDORES NACIONAIS100000000048011287000181</v>
      </c>
      <c r="H800" s="87" t="str">
        <f>VLOOKUP(Tabela1[[#This Row],[CONCATENAR]],'Classificações - Demonstrações'!$A$5:$C$46003,2,)</f>
        <v>Fornecedores</v>
      </c>
      <c r="I800" s="87"/>
    </row>
    <row r="801" spans="1:9" ht="12.75" customHeight="1" x14ac:dyDescent="0.2">
      <c r="A801" s="94" t="s">
        <v>5323</v>
      </c>
      <c r="B801" s="87" t="s">
        <v>435</v>
      </c>
      <c r="C801" s="87" t="s">
        <v>6104</v>
      </c>
      <c r="D801" s="88">
        <v>0</v>
      </c>
      <c r="E801" s="89"/>
      <c r="F801" s="89"/>
      <c r="G801" s="87" t="str">
        <f t="shared" si="12"/>
        <v>213110400'= CONTAS A PAGAR CREDORES NACIONAIS100000000048151779000172</v>
      </c>
      <c r="H801" s="87" t="str">
        <f>VLOOKUP(Tabela1[[#This Row],[CONCATENAR]],'Classificações - Demonstrações'!$A$5:$C$46003,2,)</f>
        <v>Fornecedores</v>
      </c>
      <c r="I801" s="87"/>
    </row>
    <row r="802" spans="1:9" ht="12.75" customHeight="1" x14ac:dyDescent="0.2">
      <c r="A802" s="94" t="s">
        <v>5323</v>
      </c>
      <c r="B802" s="87" t="s">
        <v>435</v>
      </c>
      <c r="C802" s="87" t="s">
        <v>6105</v>
      </c>
      <c r="D802" s="88">
        <v>0</v>
      </c>
      <c r="E802" s="89"/>
      <c r="F802" s="89"/>
      <c r="G802" s="87" t="str">
        <f t="shared" si="12"/>
        <v>213110400'= CONTAS A PAGAR CREDORES NACIONAIS100000000050891609000176</v>
      </c>
      <c r="H802" s="87" t="str">
        <f>VLOOKUP(Tabela1[[#This Row],[CONCATENAR]],'Classificações - Demonstrações'!$A$5:$C$46003,2,)</f>
        <v>Fornecedores</v>
      </c>
      <c r="I802" s="87"/>
    </row>
    <row r="803" spans="1:9" ht="12.75" customHeight="1" x14ac:dyDescent="0.2">
      <c r="A803" s="94" t="s">
        <v>5323</v>
      </c>
      <c r="B803" s="87" t="s">
        <v>435</v>
      </c>
      <c r="C803" s="87" t="s">
        <v>4783</v>
      </c>
      <c r="D803" s="88">
        <v>0</v>
      </c>
      <c r="E803" s="89"/>
      <c r="F803" s="89"/>
      <c r="G803" s="87" t="str">
        <f t="shared" si="12"/>
        <v>213110400'= CONTAS A PAGAR CREDORES NACIONAIS100000000050892934000153</v>
      </c>
      <c r="H803" s="87" t="str">
        <f>VLOOKUP(Tabela1[[#This Row],[CONCATENAR]],'Classificações - Demonstrações'!$A$5:$C$46003,2,)</f>
        <v>Fornecedores</v>
      </c>
      <c r="I803" s="87"/>
    </row>
    <row r="804" spans="1:9" ht="12.75" customHeight="1" x14ac:dyDescent="0.2">
      <c r="A804" s="94" t="s">
        <v>5323</v>
      </c>
      <c r="B804" s="87" t="s">
        <v>435</v>
      </c>
      <c r="C804" s="87" t="s">
        <v>497</v>
      </c>
      <c r="D804" s="88">
        <v>0</v>
      </c>
      <c r="E804" s="89"/>
      <c r="F804" s="89"/>
      <c r="G804" s="87" t="str">
        <f t="shared" si="12"/>
        <v>213110400'= CONTAS A PAGAR CREDORES NACIONAIS100000000051733129000140</v>
      </c>
      <c r="H804" s="87" t="str">
        <f>VLOOKUP(Tabela1[[#This Row],[CONCATENAR]],'Classificações - Demonstrações'!$A$5:$C$46003,2,)</f>
        <v>Fornecedores</v>
      </c>
      <c r="I804" s="87"/>
    </row>
    <row r="805" spans="1:9" ht="12.75" customHeight="1" x14ac:dyDescent="0.2">
      <c r="A805" s="94" t="s">
        <v>5323</v>
      </c>
      <c r="B805" s="87" t="s">
        <v>435</v>
      </c>
      <c r="C805" s="87" t="s">
        <v>5778</v>
      </c>
      <c r="D805" s="88">
        <v>0</v>
      </c>
      <c r="E805" s="89"/>
      <c r="F805" s="89"/>
      <c r="G805" s="87" t="str">
        <f t="shared" si="12"/>
        <v>213110400'= CONTAS A PAGAR CREDORES NACIONAIS100000000052841613000155</v>
      </c>
      <c r="H805" s="87" t="str">
        <f>VLOOKUP(Tabela1[[#This Row],[CONCATENAR]],'Classificações - Demonstrações'!$A$5:$C$46003,2,)</f>
        <v>Fornecedores</v>
      </c>
      <c r="I805" s="87"/>
    </row>
    <row r="806" spans="1:9" ht="12.75" customHeight="1" x14ac:dyDescent="0.2">
      <c r="A806" s="94" t="s">
        <v>5323</v>
      </c>
      <c r="B806" s="87" t="s">
        <v>435</v>
      </c>
      <c r="C806" s="87" t="s">
        <v>6106</v>
      </c>
      <c r="D806" s="88">
        <v>0</v>
      </c>
      <c r="E806" s="89"/>
      <c r="F806" s="89"/>
      <c r="G806" s="87" t="str">
        <f t="shared" si="12"/>
        <v>213110400'= CONTAS A PAGAR CREDORES NACIONAIS100000000054550030000109</v>
      </c>
      <c r="H806" s="87" t="str">
        <f>VLOOKUP(Tabela1[[#This Row],[CONCATENAR]],'Classificações - Demonstrações'!$A$5:$C$46003,2,)</f>
        <v>Fornecedores</v>
      </c>
      <c r="I806" s="87"/>
    </row>
    <row r="807" spans="1:9" ht="12.75" customHeight="1" x14ac:dyDescent="0.2">
      <c r="A807" s="94" t="s">
        <v>5323</v>
      </c>
      <c r="B807" s="87" t="s">
        <v>435</v>
      </c>
      <c r="C807" s="87" t="s">
        <v>498</v>
      </c>
      <c r="D807" s="88">
        <v>0</v>
      </c>
      <c r="E807" s="89"/>
      <c r="F807" s="89"/>
      <c r="G807" s="87" t="str">
        <f t="shared" si="12"/>
        <v>213110400'= CONTAS A PAGAR CREDORES NACIONAIS100000000055616429000108</v>
      </c>
      <c r="H807" s="87" t="str">
        <f>VLOOKUP(Tabela1[[#This Row],[CONCATENAR]],'Classificações - Demonstrações'!$A$5:$C$46003,2,)</f>
        <v>Fornecedores</v>
      </c>
      <c r="I807" s="87"/>
    </row>
    <row r="808" spans="1:9" ht="12.75" customHeight="1" x14ac:dyDescent="0.2">
      <c r="A808" s="94" t="s">
        <v>5323</v>
      </c>
      <c r="B808" s="87" t="s">
        <v>435</v>
      </c>
      <c r="C808" s="87" t="s">
        <v>6107</v>
      </c>
      <c r="D808" s="88">
        <v>0</v>
      </c>
      <c r="E808" s="89"/>
      <c r="F808" s="89"/>
      <c r="G808" s="87" t="str">
        <f t="shared" si="12"/>
        <v>213110400'= CONTAS A PAGAR CREDORES NACIONAIS100000000055942986000100</v>
      </c>
      <c r="H808" s="87" t="str">
        <f>VLOOKUP(Tabela1[[#This Row],[CONCATENAR]],'Classificações - Demonstrações'!$A$5:$C$46003,2,)</f>
        <v>Fornecedores</v>
      </c>
      <c r="I808" s="87"/>
    </row>
    <row r="809" spans="1:9" ht="12.75" customHeight="1" x14ac:dyDescent="0.2">
      <c r="A809" s="94" t="s">
        <v>5323</v>
      </c>
      <c r="B809" s="87" t="s">
        <v>435</v>
      </c>
      <c r="C809" s="87" t="s">
        <v>499</v>
      </c>
      <c r="D809" s="88">
        <v>0</v>
      </c>
      <c r="E809" s="89"/>
      <c r="F809" s="89"/>
      <c r="G809" s="87" t="str">
        <f t="shared" si="12"/>
        <v>213110400'= CONTAS A PAGAR CREDORES NACIONAIS100000000057055352000161</v>
      </c>
      <c r="H809" s="87" t="str">
        <f>VLOOKUP(Tabela1[[#This Row],[CONCATENAR]],'Classificações - Demonstrações'!$A$5:$C$46003,2,)</f>
        <v>Fornecedores</v>
      </c>
      <c r="I809" s="87"/>
    </row>
    <row r="810" spans="1:9" ht="12.75" customHeight="1" x14ac:dyDescent="0.2">
      <c r="A810" s="94" t="s">
        <v>5323</v>
      </c>
      <c r="B810" s="87" t="s">
        <v>435</v>
      </c>
      <c r="C810" s="87" t="s">
        <v>500</v>
      </c>
      <c r="D810" s="88">
        <v>0</v>
      </c>
      <c r="E810" s="89"/>
      <c r="F810" s="89"/>
      <c r="G810" s="87" t="str">
        <f t="shared" si="12"/>
        <v>213110400'= CONTAS A PAGAR CREDORES NACIONAIS100000000059618207000177</v>
      </c>
      <c r="H810" s="87" t="str">
        <f>VLOOKUP(Tabela1[[#This Row],[CONCATENAR]],'Classificações - Demonstrações'!$A$5:$C$46003,2,)</f>
        <v>Fornecedores</v>
      </c>
      <c r="I810" s="87"/>
    </row>
    <row r="811" spans="1:9" ht="12.75" customHeight="1" x14ac:dyDescent="0.2">
      <c r="A811" s="94" t="s">
        <v>5323</v>
      </c>
      <c r="B811" s="87" t="s">
        <v>435</v>
      </c>
      <c r="C811" s="87" t="s">
        <v>501</v>
      </c>
      <c r="D811" s="88">
        <v>3000</v>
      </c>
      <c r="E811" s="89"/>
      <c r="F811" s="89"/>
      <c r="G811" s="87" t="str">
        <f t="shared" si="12"/>
        <v>213110400'= CONTAS A PAGAR CREDORES NACIONAIS100000000060010287000162</v>
      </c>
      <c r="H811" s="87" t="str">
        <f>VLOOKUP(Tabela1[[#This Row],[CONCATENAR]],'Classificações - Demonstrações'!$A$5:$C$46003,2,)</f>
        <v>Fornecedores</v>
      </c>
      <c r="I811" s="87"/>
    </row>
    <row r="812" spans="1:9" ht="12.75" customHeight="1" x14ac:dyDescent="0.2">
      <c r="A812" s="94" t="s">
        <v>5323</v>
      </c>
      <c r="B812" s="87" t="s">
        <v>435</v>
      </c>
      <c r="C812" s="87" t="s">
        <v>502</v>
      </c>
      <c r="D812" s="88">
        <v>0</v>
      </c>
      <c r="E812" s="89"/>
      <c r="F812" s="89"/>
      <c r="G812" s="87" t="str">
        <f t="shared" si="12"/>
        <v>213110400'= CONTAS A PAGAR CREDORES NACIONAIS100000000060444437000146</v>
      </c>
      <c r="H812" s="87" t="str">
        <f>VLOOKUP(Tabela1[[#This Row],[CONCATENAR]],'Classificações - Demonstrações'!$A$5:$C$46003,2,)</f>
        <v>Fornecedores</v>
      </c>
      <c r="I812" s="87"/>
    </row>
    <row r="813" spans="1:9" ht="12.75" customHeight="1" x14ac:dyDescent="0.2">
      <c r="A813" s="94" t="s">
        <v>5323</v>
      </c>
      <c r="B813" s="87" t="s">
        <v>435</v>
      </c>
      <c r="C813" s="87" t="s">
        <v>6108</v>
      </c>
      <c r="D813" s="88">
        <v>0</v>
      </c>
      <c r="E813" s="89"/>
      <c r="F813" s="89"/>
      <c r="G813" s="87" t="str">
        <f t="shared" si="12"/>
        <v>213110400'= CONTAS A PAGAR CREDORES NACIONAIS100000000060613478000119</v>
      </c>
      <c r="H813" s="87" t="str">
        <f>VLOOKUP(Tabela1[[#This Row],[CONCATENAR]],'Classificações - Demonstrações'!$A$5:$C$46003,2,)</f>
        <v>Fornecedores</v>
      </c>
      <c r="I813" s="87"/>
    </row>
    <row r="814" spans="1:9" ht="12.75" customHeight="1" x14ac:dyDescent="0.2">
      <c r="A814" s="94" t="s">
        <v>5323</v>
      </c>
      <c r="B814" s="87" t="s">
        <v>435</v>
      </c>
      <c r="C814" s="87" t="s">
        <v>503</v>
      </c>
      <c r="D814" s="88">
        <v>0</v>
      </c>
      <c r="E814" s="89"/>
      <c r="F814" s="89"/>
      <c r="G814" s="87" t="str">
        <f t="shared" si="12"/>
        <v>213110400'= CONTAS A PAGAR CREDORES NACIONAIS100000000060633674000155</v>
      </c>
      <c r="H814" s="87" t="str">
        <f>VLOOKUP(Tabela1[[#This Row],[CONCATENAR]],'Classificações - Demonstrações'!$A$5:$C$46003,2,)</f>
        <v>Fornecedores</v>
      </c>
      <c r="I814" s="87"/>
    </row>
    <row r="815" spans="1:9" ht="12.75" customHeight="1" x14ac:dyDescent="0.2">
      <c r="A815" s="94" t="s">
        <v>5323</v>
      </c>
      <c r="B815" s="87" t="s">
        <v>435</v>
      </c>
      <c r="C815" s="87" t="s">
        <v>4784</v>
      </c>
      <c r="D815" s="88">
        <v>0</v>
      </c>
      <c r="E815" s="89"/>
      <c r="F815" s="89"/>
      <c r="G815" s="87" t="str">
        <f t="shared" si="12"/>
        <v>213110400'= CONTAS A PAGAR CREDORES NACIONAIS100000000061055661000109</v>
      </c>
      <c r="H815" s="87" t="str">
        <f>VLOOKUP(Tabela1[[#This Row],[CONCATENAR]],'Classificações - Demonstrações'!$A$5:$C$46003,2,)</f>
        <v>Fornecedores</v>
      </c>
      <c r="I815" s="87"/>
    </row>
    <row r="816" spans="1:9" ht="12.75" customHeight="1" x14ac:dyDescent="0.2">
      <c r="A816" s="94" t="s">
        <v>5323</v>
      </c>
      <c r="B816" s="87" t="s">
        <v>435</v>
      </c>
      <c r="C816" s="87" t="s">
        <v>4638</v>
      </c>
      <c r="D816" s="88">
        <v>0</v>
      </c>
      <c r="E816" s="89"/>
      <c r="F816" s="89"/>
      <c r="G816" s="87" t="str">
        <f t="shared" si="12"/>
        <v>213110400'= CONTAS A PAGAR CREDORES NACIONAIS100000000061067906000118</v>
      </c>
      <c r="H816" s="87" t="str">
        <f>VLOOKUP(Tabela1[[#This Row],[CONCATENAR]],'Classificações - Demonstrações'!$A$5:$C$46003,2,)</f>
        <v>Fornecedores</v>
      </c>
      <c r="I816" s="87"/>
    </row>
    <row r="817" spans="1:9" ht="12.75" customHeight="1" x14ac:dyDescent="0.2">
      <c r="A817" s="94" t="s">
        <v>5323</v>
      </c>
      <c r="B817" s="87" t="s">
        <v>435</v>
      </c>
      <c r="C817" s="87" t="s">
        <v>4785</v>
      </c>
      <c r="D817" s="88">
        <v>0</v>
      </c>
      <c r="E817" s="89"/>
      <c r="F817" s="89"/>
      <c r="G817" s="87" t="str">
        <f t="shared" si="12"/>
        <v>213110400'= CONTAS A PAGAR CREDORES NACIONAIS100000000061074175000138</v>
      </c>
      <c r="H817" s="87" t="str">
        <f>VLOOKUP(Tabela1[[#This Row],[CONCATENAR]],'Classificações - Demonstrações'!$A$5:$C$46003,2,)</f>
        <v>Fornecedores</v>
      </c>
      <c r="I817" s="87"/>
    </row>
    <row r="818" spans="1:9" ht="12.75" customHeight="1" x14ac:dyDescent="0.2">
      <c r="A818" s="94" t="s">
        <v>5323</v>
      </c>
      <c r="B818" s="87" t="s">
        <v>435</v>
      </c>
      <c r="C818" s="87" t="s">
        <v>6109</v>
      </c>
      <c r="D818" s="88">
        <v>0</v>
      </c>
      <c r="E818" s="89"/>
      <c r="F818" s="89"/>
      <c r="G818" s="87" t="str">
        <f t="shared" si="12"/>
        <v>213110400'= CONTAS A PAGAR CREDORES NACIONAIS100000000062238043000167</v>
      </c>
      <c r="H818" s="87" t="str">
        <f>VLOOKUP(Tabela1[[#This Row],[CONCATENAR]],'Classificações - Demonstrações'!$A$5:$C$46003,2,)</f>
        <v>Fornecedores</v>
      </c>
      <c r="I818" s="87"/>
    </row>
    <row r="819" spans="1:9" ht="12.75" customHeight="1" x14ac:dyDescent="0.2">
      <c r="A819" s="94" t="s">
        <v>5323</v>
      </c>
      <c r="B819" s="87" t="s">
        <v>435</v>
      </c>
      <c r="C819" s="87" t="s">
        <v>5035</v>
      </c>
      <c r="D819" s="88">
        <v>0</v>
      </c>
      <c r="E819" s="89"/>
      <c r="F819" s="89"/>
      <c r="G819" s="87" t="str">
        <f t="shared" si="12"/>
        <v>213110400'= CONTAS A PAGAR CREDORES NACIONAIS100000000062954987000130</v>
      </c>
      <c r="H819" s="87" t="str">
        <f>VLOOKUP(Tabela1[[#This Row],[CONCATENAR]],'Classificações - Demonstrações'!$A$5:$C$46003,2,)</f>
        <v>Fornecedores</v>
      </c>
      <c r="I819" s="87"/>
    </row>
    <row r="820" spans="1:9" ht="12.75" customHeight="1" x14ac:dyDescent="0.2">
      <c r="A820" s="94" t="s">
        <v>5323</v>
      </c>
      <c r="B820" s="87" t="s">
        <v>435</v>
      </c>
      <c r="C820" s="87" t="s">
        <v>4639</v>
      </c>
      <c r="D820" s="88">
        <v>0</v>
      </c>
      <c r="E820" s="89"/>
      <c r="F820" s="89"/>
      <c r="G820" s="87" t="str">
        <f t="shared" si="12"/>
        <v>213110400'= CONTAS A PAGAR CREDORES NACIONAIS100000000066018441000129</v>
      </c>
      <c r="H820" s="87" t="str">
        <f>VLOOKUP(Tabela1[[#This Row],[CONCATENAR]],'Classificações - Demonstrações'!$A$5:$C$46003,2,)</f>
        <v>Fornecedores</v>
      </c>
      <c r="I820" s="87"/>
    </row>
    <row r="821" spans="1:9" ht="12.75" customHeight="1" x14ac:dyDescent="0.2">
      <c r="A821" s="94" t="s">
        <v>5323</v>
      </c>
      <c r="B821" s="87" t="s">
        <v>435</v>
      </c>
      <c r="C821" s="87" t="s">
        <v>5331</v>
      </c>
      <c r="D821" s="88">
        <v>0</v>
      </c>
      <c r="E821" s="89"/>
      <c r="F821" s="89"/>
      <c r="G821" s="87" t="str">
        <f t="shared" si="12"/>
        <v>213110400'= CONTAS A PAGAR CREDORES NACIONAIS100000000067423152000178</v>
      </c>
      <c r="H821" s="87" t="str">
        <f>VLOOKUP(Tabela1[[#This Row],[CONCATENAR]],'Classificações - Demonstrações'!$A$5:$C$46003,2,)</f>
        <v>Fornecedores</v>
      </c>
      <c r="I821" s="87"/>
    </row>
    <row r="822" spans="1:9" ht="12.75" customHeight="1" x14ac:dyDescent="0.2">
      <c r="A822" s="94" t="s">
        <v>5323</v>
      </c>
      <c r="B822" s="87" t="s">
        <v>435</v>
      </c>
      <c r="C822" s="87" t="s">
        <v>504</v>
      </c>
      <c r="D822" s="88">
        <v>0</v>
      </c>
      <c r="E822" s="89"/>
      <c r="F822" s="89"/>
      <c r="G822" s="87" t="str">
        <f t="shared" si="12"/>
        <v>213110400'= CONTAS A PAGAR CREDORES NACIONAIS100000000068976844000106</v>
      </c>
      <c r="H822" s="87" t="str">
        <f>VLOOKUP(Tabela1[[#This Row],[CONCATENAR]],'Classificações - Demonstrações'!$A$5:$C$46003,2,)</f>
        <v>Fornecedores</v>
      </c>
      <c r="I822" s="87"/>
    </row>
    <row r="823" spans="1:9" ht="12.75" customHeight="1" x14ac:dyDescent="0.2">
      <c r="A823" s="94" t="s">
        <v>5323</v>
      </c>
      <c r="B823" s="87" t="s">
        <v>435</v>
      </c>
      <c r="C823" s="87" t="s">
        <v>505</v>
      </c>
      <c r="D823" s="88">
        <v>9801.14</v>
      </c>
      <c r="E823" s="89"/>
      <c r="F823" s="89"/>
      <c r="G823" s="87" t="str">
        <f t="shared" si="12"/>
        <v>213110400'= CONTAS A PAGAR CREDORES NACIONAIS100000000069275337000108</v>
      </c>
      <c r="H823" s="87" t="str">
        <f>VLOOKUP(Tabela1[[#This Row],[CONCATENAR]],'Classificações - Demonstrações'!$A$5:$C$46003,2,)</f>
        <v>Fornecedores</v>
      </c>
      <c r="I823" s="87"/>
    </row>
    <row r="824" spans="1:9" ht="12.75" customHeight="1" x14ac:dyDescent="0.2">
      <c r="A824" s="94" t="s">
        <v>5323</v>
      </c>
      <c r="B824" s="87" t="s">
        <v>435</v>
      </c>
      <c r="C824" s="87" t="s">
        <v>506</v>
      </c>
      <c r="D824" s="88">
        <v>0</v>
      </c>
      <c r="E824" s="89"/>
      <c r="F824" s="89"/>
      <c r="G824" s="87" t="str">
        <f t="shared" si="12"/>
        <v>213110400'= CONTAS A PAGAR CREDORES NACIONAIS100000000071208516000174</v>
      </c>
      <c r="H824" s="87" t="str">
        <f>VLOOKUP(Tabela1[[#This Row],[CONCATENAR]],'Classificações - Demonstrações'!$A$5:$C$46003,2,)</f>
        <v>Fornecedores</v>
      </c>
      <c r="I824" s="87"/>
    </row>
    <row r="825" spans="1:9" ht="12.75" customHeight="1" x14ac:dyDescent="0.2">
      <c r="A825" s="94" t="s">
        <v>5323</v>
      </c>
      <c r="B825" s="87" t="s">
        <v>435</v>
      </c>
      <c r="C825" s="87" t="s">
        <v>508</v>
      </c>
      <c r="D825" s="88">
        <v>605.21</v>
      </c>
      <c r="E825" s="89"/>
      <c r="F825" s="89"/>
      <c r="G825" s="87" t="str">
        <f t="shared" si="12"/>
        <v>213110400'= CONTAS A PAGAR CREDORES NACIONAIS100000000073193211000161</v>
      </c>
      <c r="H825" s="87" t="str">
        <f>VLOOKUP(Tabela1[[#This Row],[CONCATENAR]],'Classificações - Demonstrações'!$A$5:$C$46003,2,)</f>
        <v>Fornecedores</v>
      </c>
      <c r="I825" s="87"/>
    </row>
    <row r="826" spans="1:9" ht="12.75" customHeight="1" x14ac:dyDescent="0.2">
      <c r="A826" s="94" t="s">
        <v>5323</v>
      </c>
      <c r="B826" s="87" t="s">
        <v>435</v>
      </c>
      <c r="C826" s="87" t="s">
        <v>4640</v>
      </c>
      <c r="D826" s="88">
        <v>0</v>
      </c>
      <c r="E826" s="89"/>
      <c r="F826" s="89"/>
      <c r="G826" s="87" t="str">
        <f t="shared" si="12"/>
        <v>213110400'= CONTAS A PAGAR CREDORES NACIONAIS100000000092690700000254</v>
      </c>
      <c r="H826" s="87" t="str">
        <f>VLOOKUP(Tabela1[[#This Row],[CONCATENAR]],'Classificações - Demonstrações'!$A$5:$C$46003,2,)</f>
        <v>Fornecedores</v>
      </c>
      <c r="I826" s="87"/>
    </row>
    <row r="827" spans="1:9" ht="12.75" customHeight="1" x14ac:dyDescent="0.2">
      <c r="A827" s="94" t="s">
        <v>5323</v>
      </c>
      <c r="B827" s="87" t="s">
        <v>435</v>
      </c>
      <c r="C827" s="87" t="s">
        <v>6110</v>
      </c>
      <c r="D827" s="88">
        <v>0</v>
      </c>
      <c r="E827" s="89"/>
      <c r="F827" s="89"/>
      <c r="G827" s="87" t="str">
        <f t="shared" si="12"/>
        <v>213110400'= CONTAS A PAGAR CREDORES NACIONAIS100000000092863505000106</v>
      </c>
      <c r="H827" s="87" t="str">
        <f>VLOOKUP(Tabela1[[#This Row],[CONCATENAR]],'Classificações - Demonstrações'!$A$5:$C$46003,2,)</f>
        <v>Fornecedores</v>
      </c>
      <c r="I827" s="87"/>
    </row>
    <row r="828" spans="1:9" ht="12.75" customHeight="1" x14ac:dyDescent="0.2">
      <c r="A828" s="94" t="s">
        <v>5323</v>
      </c>
      <c r="B828" s="87" t="s">
        <v>435</v>
      </c>
      <c r="C828" s="87" t="s">
        <v>509</v>
      </c>
      <c r="D828" s="88">
        <v>221.33</v>
      </c>
      <c r="E828" s="89"/>
      <c r="F828" s="89"/>
      <c r="G828" s="87" t="str">
        <f t="shared" si="12"/>
        <v>213110400'= CONTAS A PAGAR CREDORES NACIONAIS100000000093969707000191</v>
      </c>
      <c r="H828" s="87" t="str">
        <f>VLOOKUP(Tabela1[[#This Row],[CONCATENAR]],'Classificações - Demonstrações'!$A$5:$C$46003,2,)</f>
        <v>Fornecedores</v>
      </c>
      <c r="I828" s="87"/>
    </row>
    <row r="829" spans="1:9" ht="12.75" customHeight="1" x14ac:dyDescent="0.2">
      <c r="A829" s="94" t="s">
        <v>5323</v>
      </c>
      <c r="B829" s="87" t="s">
        <v>435</v>
      </c>
      <c r="C829" s="87" t="s">
        <v>510</v>
      </c>
      <c r="D829" s="88">
        <v>12461.62</v>
      </c>
      <c r="E829" s="89"/>
      <c r="F829" s="89"/>
      <c r="G829" s="87" t="str">
        <f t="shared" si="12"/>
        <v>213110400'= CONTAS A PAGAR CREDORES NACIONAIS1000000000PF9999901</v>
      </c>
      <c r="H829" s="87" t="str">
        <f>VLOOKUP(Tabela1[[#This Row],[CONCATENAR]],'Classificações - Demonstrações'!$A$5:$C$46003,2,)</f>
        <v>Fornecedores</v>
      </c>
      <c r="I829" s="87"/>
    </row>
    <row r="830" spans="1:9" ht="12.75" customHeight="1" x14ac:dyDescent="0.2">
      <c r="A830" s="94" t="s">
        <v>5323</v>
      </c>
      <c r="B830" s="87" t="s">
        <v>435</v>
      </c>
      <c r="C830" s="87" t="s">
        <v>511</v>
      </c>
      <c r="D830" s="88">
        <v>820296.39</v>
      </c>
      <c r="E830" s="89"/>
      <c r="F830" s="89"/>
      <c r="G830" s="87" t="str">
        <f t="shared" si="12"/>
        <v>213110400'= CONTAS A PAGAR CREDORES NACIONAIS1000000000PF9999902</v>
      </c>
      <c r="H830" s="87" t="str">
        <f>VLOOKUP(Tabela1[[#This Row],[CONCATENAR]],'Classificações - Demonstrações'!$A$5:$C$46003,2,)</f>
        <v>Fornecedores</v>
      </c>
      <c r="I830" s="87"/>
    </row>
    <row r="831" spans="1:9" ht="12.75" customHeight="1" x14ac:dyDescent="0.2">
      <c r="A831" s="94" t="s">
        <v>5323</v>
      </c>
      <c r="B831" s="87" t="s">
        <v>435</v>
      </c>
      <c r="C831" s="87" t="s">
        <v>4541</v>
      </c>
      <c r="D831" s="88">
        <v>0</v>
      </c>
      <c r="E831" s="89"/>
      <c r="F831" s="89"/>
      <c r="G831" s="87" t="str">
        <f t="shared" si="12"/>
        <v>213110400'= CONTAS A PAGAR CREDORES NACIONAIS1000000000PF9999923</v>
      </c>
      <c r="H831" s="87" t="str">
        <f>VLOOKUP(Tabela1[[#This Row],[CONCATENAR]],'Classificações - Demonstrações'!$A$5:$C$46003,2,)</f>
        <v>Fornecedores</v>
      </c>
      <c r="I831" s="87"/>
    </row>
    <row r="832" spans="1:9" ht="12.75" customHeight="1" x14ac:dyDescent="0.2">
      <c r="A832" s="94" t="s">
        <v>5323</v>
      </c>
      <c r="B832" s="87" t="s">
        <v>435</v>
      </c>
      <c r="C832" s="87" t="s">
        <v>5672</v>
      </c>
      <c r="D832" s="88">
        <v>363993.33</v>
      </c>
      <c r="E832" s="89"/>
      <c r="F832" s="89"/>
      <c r="G832" s="87" t="str">
        <f t="shared" si="12"/>
        <v>213110400'= CONTAS A PAGAR CREDORES NACIONAIS10380412000158</v>
      </c>
      <c r="H832" s="87" t="str">
        <f>VLOOKUP(Tabela1[[#This Row],[CONCATENAR]],'Classificações - Demonstrações'!$A$5:$C$46003,2,)</f>
        <v>Fornecedores</v>
      </c>
      <c r="I832" s="87"/>
    </row>
    <row r="833" spans="1:9" ht="12.75" customHeight="1" x14ac:dyDescent="0.2">
      <c r="A833" s="94" t="s">
        <v>5323</v>
      </c>
      <c r="B833" s="87" t="s">
        <v>435</v>
      </c>
      <c r="C833" s="87" t="s">
        <v>6111</v>
      </c>
      <c r="D833" s="88">
        <v>0</v>
      </c>
      <c r="E833" s="89"/>
      <c r="F833" s="89"/>
      <c r="G833" s="87" t="str">
        <f t="shared" si="12"/>
        <v>213110400'= CONTAS A PAGAR CREDORES NACIONAIS10430390000193</v>
      </c>
      <c r="H833" s="87" t="str">
        <f>VLOOKUP(Tabela1[[#This Row],[CONCATENAR]],'Classificações - Demonstrações'!$A$5:$C$46003,2,)</f>
        <v>Fornecedores</v>
      </c>
      <c r="I833" s="87"/>
    </row>
    <row r="834" spans="1:9" ht="12.75" customHeight="1" x14ac:dyDescent="0.2">
      <c r="A834" s="94" t="s">
        <v>5323</v>
      </c>
      <c r="B834" s="87" t="s">
        <v>435</v>
      </c>
      <c r="C834" s="87" t="s">
        <v>2</v>
      </c>
      <c r="D834" s="88">
        <v>0</v>
      </c>
      <c r="E834" s="89"/>
      <c r="F834" s="89"/>
      <c r="G834" s="87" t="str">
        <f t="shared" si="12"/>
        <v>213110400'= CONTAS A PAGAR CREDORES NACIONAIS105000026600000000000191</v>
      </c>
      <c r="H834" s="87" t="str">
        <f>VLOOKUP(Tabela1[[#This Row],[CONCATENAR]],'Classificações - Demonstrações'!$A$5:$C$46003,2,)</f>
        <v>Fornecedores</v>
      </c>
      <c r="I834" s="87"/>
    </row>
    <row r="835" spans="1:9" ht="12.75" customHeight="1" x14ac:dyDescent="0.2">
      <c r="A835" s="94" t="s">
        <v>5323</v>
      </c>
      <c r="B835" s="87" t="s">
        <v>435</v>
      </c>
      <c r="C835" s="87" t="s">
        <v>513</v>
      </c>
      <c r="D835" s="88">
        <v>1500</v>
      </c>
      <c r="E835" s="89"/>
      <c r="F835" s="89"/>
      <c r="G835" s="87" t="str">
        <f t="shared" si="12"/>
        <v>213110400'= CONTAS A PAGAR CREDORES NACIONAIS105000026600185997000100</v>
      </c>
      <c r="H835" s="87" t="str">
        <f>VLOOKUP(Tabela1[[#This Row],[CONCATENAR]],'Classificações - Demonstrações'!$A$5:$C$46003,2,)</f>
        <v>Fornecedores</v>
      </c>
      <c r="I835" s="87"/>
    </row>
    <row r="836" spans="1:9" ht="12.75" customHeight="1" x14ac:dyDescent="0.2">
      <c r="A836" s="94" t="s">
        <v>5323</v>
      </c>
      <c r="B836" s="87" t="s">
        <v>435</v>
      </c>
      <c r="C836" s="87" t="s">
        <v>4786</v>
      </c>
      <c r="D836" s="88">
        <v>6546.16</v>
      </c>
      <c r="E836" s="89"/>
      <c r="F836" s="89"/>
      <c r="G836" s="87" t="str">
        <f t="shared" si="12"/>
        <v>213110400'= CONTAS A PAGAR CREDORES NACIONAIS105000026600604122000197</v>
      </c>
      <c r="H836" s="87" t="str">
        <f>VLOOKUP(Tabela1[[#This Row],[CONCATENAR]],'Classificações - Demonstrações'!$A$5:$C$46003,2,)</f>
        <v>Fornecedores</v>
      </c>
      <c r="I836" s="87"/>
    </row>
    <row r="837" spans="1:9" ht="12.75" customHeight="1" x14ac:dyDescent="0.2">
      <c r="A837" s="94" t="s">
        <v>5323</v>
      </c>
      <c r="B837" s="87" t="s">
        <v>435</v>
      </c>
      <c r="C837" s="87" t="s">
        <v>4787</v>
      </c>
      <c r="D837" s="88">
        <v>0</v>
      </c>
      <c r="E837" s="89"/>
      <c r="F837" s="89"/>
      <c r="G837" s="87" t="str">
        <f t="shared" ref="G837:G900" si="13">CONCATENATE(A837,B837,C837)</f>
        <v>213110400'= CONTAS A PAGAR CREDORES NACIONAIS105000026600910509000171</v>
      </c>
      <c r="H837" s="87" t="str">
        <f>VLOOKUP(Tabela1[[#This Row],[CONCATENAR]],'Classificações - Demonstrações'!$A$5:$C$46003,2,)</f>
        <v>Fornecedores</v>
      </c>
      <c r="I837" s="87"/>
    </row>
    <row r="838" spans="1:9" ht="12.75" customHeight="1" x14ac:dyDescent="0.2">
      <c r="A838" s="94" t="s">
        <v>5323</v>
      </c>
      <c r="B838" s="87" t="s">
        <v>435</v>
      </c>
      <c r="C838" s="87" t="s">
        <v>6112</v>
      </c>
      <c r="D838" s="88">
        <v>0</v>
      </c>
      <c r="E838" s="89"/>
      <c r="F838" s="89"/>
      <c r="G838" s="87" t="str">
        <f t="shared" si="13"/>
        <v>213110400'= CONTAS A PAGAR CREDORES NACIONAIS105000026600910509000414</v>
      </c>
      <c r="H838" s="87" t="str">
        <f>VLOOKUP(Tabela1[[#This Row],[CONCATENAR]],'Classificações - Demonstrações'!$A$5:$C$46003,2,)</f>
        <v>Fornecedores</v>
      </c>
      <c r="I838" s="87"/>
    </row>
    <row r="839" spans="1:9" ht="12.75" customHeight="1" x14ac:dyDescent="0.2">
      <c r="A839" s="94" t="s">
        <v>5323</v>
      </c>
      <c r="B839" s="87" t="s">
        <v>435</v>
      </c>
      <c r="C839" s="87" t="s">
        <v>514</v>
      </c>
      <c r="D839" s="88">
        <v>0</v>
      </c>
      <c r="E839" s="89"/>
      <c r="F839" s="89"/>
      <c r="G839" s="87" t="str">
        <f t="shared" si="13"/>
        <v>213110400'= CONTAS A PAGAR CREDORES NACIONAIS105000026601082331000180</v>
      </c>
      <c r="H839" s="87" t="str">
        <f>VLOOKUP(Tabela1[[#This Row],[CONCATENAR]],'Classificações - Demonstrações'!$A$5:$C$46003,2,)</f>
        <v>Fornecedores</v>
      </c>
      <c r="I839" s="87"/>
    </row>
    <row r="840" spans="1:9" ht="12.75" customHeight="1" x14ac:dyDescent="0.2">
      <c r="A840" s="94" t="s">
        <v>5323</v>
      </c>
      <c r="B840" s="87" t="s">
        <v>435</v>
      </c>
      <c r="C840" s="87" t="s">
        <v>515</v>
      </c>
      <c r="D840" s="88">
        <v>24475</v>
      </c>
      <c r="E840" s="89"/>
      <c r="F840" s="89"/>
      <c r="G840" s="87" t="str">
        <f t="shared" si="13"/>
        <v>213110400'= CONTAS A PAGAR CREDORES NACIONAIS105000026601117975000167</v>
      </c>
      <c r="H840" s="87" t="str">
        <f>VLOOKUP(Tabela1[[#This Row],[CONCATENAR]],'Classificações - Demonstrações'!$A$5:$C$46003,2,)</f>
        <v>Fornecedores</v>
      </c>
      <c r="I840" s="87"/>
    </row>
    <row r="841" spans="1:9" ht="12.75" customHeight="1" x14ac:dyDescent="0.2">
      <c r="A841" s="94" t="s">
        <v>5323</v>
      </c>
      <c r="B841" s="87" t="s">
        <v>435</v>
      </c>
      <c r="C841" s="87" t="s">
        <v>4542</v>
      </c>
      <c r="D841" s="88">
        <v>0.01</v>
      </c>
      <c r="E841" s="89"/>
      <c r="F841" s="89"/>
      <c r="G841" s="87" t="str">
        <f t="shared" si="13"/>
        <v>213110400'= CONTAS A PAGAR CREDORES NACIONAIS105000026601305625000124</v>
      </c>
      <c r="H841" s="87" t="str">
        <f>VLOOKUP(Tabela1[[#This Row],[CONCATENAR]],'Classificações - Demonstrações'!$A$5:$C$46003,2,)</f>
        <v>Fornecedores</v>
      </c>
      <c r="I841" s="87"/>
    </row>
    <row r="842" spans="1:9" ht="12.75" customHeight="1" x14ac:dyDescent="0.2">
      <c r="A842" s="94" t="s">
        <v>5323</v>
      </c>
      <c r="B842" s="87" t="s">
        <v>435</v>
      </c>
      <c r="C842" s="87" t="s">
        <v>6113</v>
      </c>
      <c r="D842" s="88">
        <v>0</v>
      </c>
      <c r="E842" s="89"/>
      <c r="F842" s="89"/>
      <c r="G842" s="87" t="str">
        <f t="shared" si="13"/>
        <v>213110400'= CONTAS A PAGAR CREDORES NACIONAIS105000026601868396000156</v>
      </c>
      <c r="H842" s="87" t="str">
        <f>VLOOKUP(Tabela1[[#This Row],[CONCATENAR]],'Classificações - Demonstrações'!$A$5:$C$46003,2,)</f>
        <v>Fornecedores</v>
      </c>
      <c r="I842" s="87"/>
    </row>
    <row r="843" spans="1:9" ht="12.75" customHeight="1" x14ac:dyDescent="0.2">
      <c r="A843" s="94" t="s">
        <v>5323</v>
      </c>
      <c r="B843" s="87" t="s">
        <v>435</v>
      </c>
      <c r="C843" s="87" t="s">
        <v>4788</v>
      </c>
      <c r="D843" s="88">
        <v>0</v>
      </c>
      <c r="E843" s="89"/>
      <c r="F843" s="89"/>
      <c r="G843" s="87" t="str">
        <f t="shared" si="13"/>
        <v>213110400'= CONTAS A PAGAR CREDORES NACIONAIS105000026602016558000190</v>
      </c>
      <c r="H843" s="87" t="str">
        <f>VLOOKUP(Tabela1[[#This Row],[CONCATENAR]],'Classificações - Demonstrações'!$A$5:$C$46003,2,)</f>
        <v>Fornecedores</v>
      </c>
      <c r="I843" s="87"/>
    </row>
    <row r="844" spans="1:9" ht="12.75" customHeight="1" x14ac:dyDescent="0.2">
      <c r="A844" s="94" t="s">
        <v>5323</v>
      </c>
      <c r="B844" s="87" t="s">
        <v>435</v>
      </c>
      <c r="C844" s="87" t="s">
        <v>516</v>
      </c>
      <c r="D844" s="88">
        <v>156234.82999999999</v>
      </c>
      <c r="E844" s="89"/>
      <c r="F844" s="89"/>
      <c r="G844" s="87" t="str">
        <f t="shared" si="13"/>
        <v>213110400'= CONTAS A PAGAR CREDORES NACIONAIS105000026602182621000169</v>
      </c>
      <c r="H844" s="87" t="str">
        <f>VLOOKUP(Tabela1[[#This Row],[CONCATENAR]],'Classificações - Demonstrações'!$A$5:$C$46003,2,)</f>
        <v>Fornecedores</v>
      </c>
      <c r="I844" s="87"/>
    </row>
    <row r="845" spans="1:9" ht="12.75" customHeight="1" x14ac:dyDescent="0.2">
      <c r="A845" s="94" t="s">
        <v>5323</v>
      </c>
      <c r="B845" s="87" t="s">
        <v>435</v>
      </c>
      <c r="C845" s="87" t="s">
        <v>6114</v>
      </c>
      <c r="D845" s="88">
        <v>0</v>
      </c>
      <c r="E845" s="89"/>
      <c r="F845" s="89"/>
      <c r="G845" s="87" t="str">
        <f t="shared" si="13"/>
        <v>213110400'= CONTAS A PAGAR CREDORES NACIONAIS105000026602887124000328</v>
      </c>
      <c r="H845" s="87" t="str">
        <f>VLOOKUP(Tabela1[[#This Row],[CONCATENAR]],'Classificações - Demonstrações'!$A$5:$C$46003,2,)</f>
        <v>Fornecedores</v>
      </c>
      <c r="I845" s="87"/>
    </row>
    <row r="846" spans="1:9" ht="12.75" customHeight="1" x14ac:dyDescent="0.2">
      <c r="A846" s="94" t="s">
        <v>5323</v>
      </c>
      <c r="B846" s="87" t="s">
        <v>435</v>
      </c>
      <c r="C846" s="87" t="s">
        <v>5145</v>
      </c>
      <c r="D846" s="88">
        <v>23000</v>
      </c>
      <c r="E846" s="89"/>
      <c r="F846" s="89"/>
      <c r="G846" s="87" t="str">
        <f t="shared" si="13"/>
        <v>213110400'= CONTAS A PAGAR CREDORES NACIONAIS105000026603020839000180</v>
      </c>
      <c r="H846" s="87" t="str">
        <f>VLOOKUP(Tabela1[[#This Row],[CONCATENAR]],'Classificações - Demonstrações'!$A$5:$C$46003,2,)</f>
        <v>Fornecedores</v>
      </c>
      <c r="I846" s="87"/>
    </row>
    <row r="847" spans="1:9" ht="12.75" customHeight="1" x14ac:dyDescent="0.2">
      <c r="A847" s="94" t="s">
        <v>5323</v>
      </c>
      <c r="B847" s="87" t="s">
        <v>435</v>
      </c>
      <c r="C847" s="87" t="s">
        <v>517</v>
      </c>
      <c r="D847" s="88">
        <v>33464.339999999997</v>
      </c>
      <c r="E847" s="89"/>
      <c r="F847" s="89"/>
      <c r="G847" s="87" t="str">
        <f t="shared" si="13"/>
        <v>213110400'= CONTAS A PAGAR CREDORES NACIONAIS105000026603279285000130</v>
      </c>
      <c r="H847" s="87" t="str">
        <f>VLOOKUP(Tabela1[[#This Row],[CONCATENAR]],'Classificações - Demonstrações'!$A$5:$C$46003,2,)</f>
        <v>Fornecedores</v>
      </c>
      <c r="I847" s="87"/>
    </row>
    <row r="848" spans="1:9" ht="12.75" customHeight="1" x14ac:dyDescent="0.2">
      <c r="A848" s="94" t="s">
        <v>5323</v>
      </c>
      <c r="B848" s="87" t="s">
        <v>435</v>
      </c>
      <c r="C848" s="87" t="s">
        <v>518</v>
      </c>
      <c r="D848" s="88">
        <v>12611.62</v>
      </c>
      <c r="E848" s="89"/>
      <c r="F848" s="89"/>
      <c r="G848" s="87" t="str">
        <f t="shared" si="13"/>
        <v>213110400'= CONTAS A PAGAR CREDORES NACIONAIS105000026603532163000294</v>
      </c>
      <c r="H848" s="87" t="str">
        <f>VLOOKUP(Tabela1[[#This Row],[CONCATENAR]],'Classificações - Demonstrações'!$A$5:$C$46003,2,)</f>
        <v>Fornecedores</v>
      </c>
      <c r="I848" s="87"/>
    </row>
    <row r="849" spans="1:9" ht="12.75" customHeight="1" x14ac:dyDescent="0.2">
      <c r="A849" s="94" t="s">
        <v>5323</v>
      </c>
      <c r="B849" s="87" t="s">
        <v>435</v>
      </c>
      <c r="C849" s="87" t="s">
        <v>519</v>
      </c>
      <c r="D849" s="88">
        <v>13803.1</v>
      </c>
      <c r="E849" s="89"/>
      <c r="F849" s="89"/>
      <c r="G849" s="87" t="str">
        <f t="shared" si="13"/>
        <v>213110400'= CONTAS A PAGAR CREDORES NACIONAIS105000026603750757000190</v>
      </c>
      <c r="H849" s="87" t="str">
        <f>VLOOKUP(Tabela1[[#This Row],[CONCATENAR]],'Classificações - Demonstrações'!$A$5:$C$46003,2,)</f>
        <v>Fornecedores</v>
      </c>
      <c r="I849" s="87"/>
    </row>
    <row r="850" spans="1:9" ht="12.75" customHeight="1" x14ac:dyDescent="0.2">
      <c r="A850" s="94" t="s">
        <v>5323</v>
      </c>
      <c r="B850" s="87" t="s">
        <v>435</v>
      </c>
      <c r="C850" s="87" t="s">
        <v>520</v>
      </c>
      <c r="D850" s="88">
        <v>3880</v>
      </c>
      <c r="E850" s="89"/>
      <c r="F850" s="89"/>
      <c r="G850" s="87" t="str">
        <f t="shared" si="13"/>
        <v>213110400'= CONTAS A PAGAR CREDORES NACIONAIS105000026603773700008353</v>
      </c>
      <c r="H850" s="87" t="str">
        <f>VLOOKUP(Tabela1[[#This Row],[CONCATENAR]],'Classificações - Demonstrações'!$A$5:$C$46003,2,)</f>
        <v>Fornecedores</v>
      </c>
      <c r="I850" s="87"/>
    </row>
    <row r="851" spans="1:9" ht="12.75" customHeight="1" x14ac:dyDescent="0.2">
      <c r="A851" s="94" t="s">
        <v>5323</v>
      </c>
      <c r="B851" s="87" t="s">
        <v>435</v>
      </c>
      <c r="C851" s="87" t="s">
        <v>5332</v>
      </c>
      <c r="D851" s="88">
        <v>0</v>
      </c>
      <c r="E851" s="89"/>
      <c r="F851" s="89"/>
      <c r="G851" s="87" t="str">
        <f t="shared" si="13"/>
        <v>213110400'= CONTAS A PAGAR CREDORES NACIONAIS105000026603958504000107</v>
      </c>
      <c r="H851" s="87" t="str">
        <f>VLOOKUP(Tabela1[[#This Row],[CONCATENAR]],'Classificações - Demonstrações'!$A$5:$C$46003,2,)</f>
        <v>Fornecedores</v>
      </c>
      <c r="I851" s="87"/>
    </row>
    <row r="852" spans="1:9" ht="12.75" customHeight="1" x14ac:dyDescent="0.2">
      <c r="A852" s="94" t="s">
        <v>5323</v>
      </c>
      <c r="B852" s="87" t="s">
        <v>435</v>
      </c>
      <c r="C852" s="87" t="s">
        <v>6115</v>
      </c>
      <c r="D852" s="88">
        <v>0</v>
      </c>
      <c r="E852" s="89"/>
      <c r="F852" s="89"/>
      <c r="G852" s="87" t="str">
        <f t="shared" si="13"/>
        <v>213110400'= CONTAS A PAGAR CREDORES NACIONAIS105000026604565030000104</v>
      </c>
      <c r="H852" s="87" t="str">
        <f>VLOOKUP(Tabela1[[#This Row],[CONCATENAR]],'Classificações - Demonstrações'!$A$5:$C$46003,2,)</f>
        <v>Fornecedores</v>
      </c>
      <c r="I852" s="87"/>
    </row>
    <row r="853" spans="1:9" ht="12.75" customHeight="1" x14ac:dyDescent="0.2">
      <c r="A853" s="94" t="s">
        <v>5323</v>
      </c>
      <c r="B853" s="87" t="s">
        <v>435</v>
      </c>
      <c r="C853" s="87" t="s">
        <v>5146</v>
      </c>
      <c r="D853" s="88">
        <v>0</v>
      </c>
      <c r="E853" s="89"/>
      <c r="F853" s="89"/>
      <c r="G853" s="87" t="str">
        <f t="shared" si="13"/>
        <v>213110400'= CONTAS A PAGAR CREDORES NACIONAIS105000026605151333000135</v>
      </c>
      <c r="H853" s="87" t="str">
        <f>VLOOKUP(Tabela1[[#This Row],[CONCATENAR]],'Classificações - Demonstrações'!$A$5:$C$46003,2,)</f>
        <v>Fornecedores</v>
      </c>
      <c r="I853" s="87"/>
    </row>
    <row r="854" spans="1:9" ht="12.75" customHeight="1" x14ac:dyDescent="0.2">
      <c r="A854" s="94" t="s">
        <v>5323</v>
      </c>
      <c r="B854" s="87" t="s">
        <v>435</v>
      </c>
      <c r="C854" s="87" t="s">
        <v>4641</v>
      </c>
      <c r="D854" s="88">
        <v>0</v>
      </c>
      <c r="E854" s="89"/>
      <c r="F854" s="89"/>
      <c r="G854" s="87" t="str">
        <f t="shared" si="13"/>
        <v>213110400'= CONTAS A PAGAR CREDORES NACIONAIS105000026605234289000127</v>
      </c>
      <c r="H854" s="87" t="str">
        <f>VLOOKUP(Tabela1[[#This Row],[CONCATENAR]],'Classificações - Demonstrações'!$A$5:$C$46003,2,)</f>
        <v>Fornecedores</v>
      </c>
      <c r="I854" s="87"/>
    </row>
    <row r="855" spans="1:9" ht="12.75" customHeight="1" x14ac:dyDescent="0.2">
      <c r="A855" s="94" t="s">
        <v>5323</v>
      </c>
      <c r="B855" s="87" t="s">
        <v>435</v>
      </c>
      <c r="C855" s="87" t="s">
        <v>5779</v>
      </c>
      <c r="D855" s="88">
        <v>0</v>
      </c>
      <c r="E855" s="89"/>
      <c r="F855" s="89"/>
      <c r="G855" s="87" t="str">
        <f t="shared" si="13"/>
        <v>213110400'= CONTAS A PAGAR CREDORES NACIONAIS105000026605295679000107</v>
      </c>
      <c r="H855" s="87" t="str">
        <f>VLOOKUP(Tabela1[[#This Row],[CONCATENAR]],'Classificações - Demonstrações'!$A$5:$C$46003,2,)</f>
        <v>Fornecedores</v>
      </c>
      <c r="I855" s="87"/>
    </row>
    <row r="856" spans="1:9" ht="12.75" customHeight="1" x14ac:dyDescent="0.2">
      <c r="A856" s="94" t="s">
        <v>5323</v>
      </c>
      <c r="B856" s="87" t="s">
        <v>435</v>
      </c>
      <c r="C856" s="87" t="s">
        <v>6116</v>
      </c>
      <c r="D856" s="88">
        <v>588</v>
      </c>
      <c r="E856" s="89"/>
      <c r="F856" s="89"/>
      <c r="G856" s="87" t="str">
        <f t="shared" si="13"/>
        <v>213110400'= CONTAS A PAGAR CREDORES NACIONAIS105000026605370858000161</v>
      </c>
      <c r="H856" s="87" t="str">
        <f>VLOOKUP(Tabela1[[#This Row],[CONCATENAR]],'Classificações - Demonstrações'!$A$5:$C$46003,2,)</f>
        <v>Fornecedores</v>
      </c>
      <c r="I856" s="87"/>
    </row>
    <row r="857" spans="1:9" ht="12.75" customHeight="1" x14ac:dyDescent="0.2">
      <c r="A857" s="94" t="s">
        <v>5323</v>
      </c>
      <c r="B857" s="87" t="s">
        <v>435</v>
      </c>
      <c r="C857" s="87" t="s">
        <v>5780</v>
      </c>
      <c r="D857" s="88">
        <v>0</v>
      </c>
      <c r="E857" s="89"/>
      <c r="F857" s="89"/>
      <c r="G857" s="87" t="str">
        <f t="shared" si="13"/>
        <v>213110400'= CONTAS A PAGAR CREDORES NACIONAIS105000026605872814000300</v>
      </c>
      <c r="H857" s="87" t="str">
        <f>VLOOKUP(Tabela1[[#This Row],[CONCATENAR]],'Classificações - Demonstrações'!$A$5:$C$46003,2,)</f>
        <v>Fornecedores</v>
      </c>
      <c r="I857" s="87"/>
    </row>
    <row r="858" spans="1:9" ht="12.75" customHeight="1" x14ac:dyDescent="0.2">
      <c r="A858" s="94" t="s">
        <v>5323</v>
      </c>
      <c r="B858" s="87" t="s">
        <v>435</v>
      </c>
      <c r="C858" s="87" t="s">
        <v>521</v>
      </c>
      <c r="D858" s="88">
        <v>3440</v>
      </c>
      <c r="E858" s="89"/>
      <c r="F858" s="89"/>
      <c r="G858" s="87" t="str">
        <f t="shared" si="13"/>
        <v>213110400'= CONTAS A PAGAR CREDORES NACIONAIS105000026605922013000131</v>
      </c>
      <c r="H858" s="87" t="str">
        <f>VLOOKUP(Tabela1[[#This Row],[CONCATENAR]],'Classificações - Demonstrações'!$A$5:$C$46003,2,)</f>
        <v>Fornecedores</v>
      </c>
      <c r="I858" s="87"/>
    </row>
    <row r="859" spans="1:9" ht="12.75" customHeight="1" x14ac:dyDescent="0.2">
      <c r="A859" s="94" t="s">
        <v>5323</v>
      </c>
      <c r="B859" s="87" t="s">
        <v>435</v>
      </c>
      <c r="C859" s="87" t="s">
        <v>522</v>
      </c>
      <c r="D859" s="88">
        <v>200</v>
      </c>
      <c r="E859" s="89"/>
      <c r="F859" s="89"/>
      <c r="G859" s="87" t="str">
        <f t="shared" si="13"/>
        <v>213110400'= CONTAS A PAGAR CREDORES NACIONAIS105000026605925426000170</v>
      </c>
      <c r="H859" s="87" t="str">
        <f>VLOOKUP(Tabela1[[#This Row],[CONCATENAR]],'Classificações - Demonstrações'!$A$5:$C$46003,2,)</f>
        <v>Fornecedores</v>
      </c>
      <c r="I859" s="87"/>
    </row>
    <row r="860" spans="1:9" ht="12.75" customHeight="1" x14ac:dyDescent="0.2">
      <c r="A860" s="94" t="s">
        <v>5323</v>
      </c>
      <c r="B860" s="87" t="s">
        <v>435</v>
      </c>
      <c r="C860" s="87" t="s">
        <v>5036</v>
      </c>
      <c r="D860" s="88">
        <v>30674.34</v>
      </c>
      <c r="E860" s="89"/>
      <c r="F860" s="89"/>
      <c r="G860" s="87" t="str">
        <f t="shared" si="13"/>
        <v>213110400'= CONTAS A PAGAR CREDORES NACIONAIS105000026607028841000156</v>
      </c>
      <c r="H860" s="87" t="str">
        <f>VLOOKUP(Tabela1[[#This Row],[CONCATENAR]],'Classificações - Demonstrações'!$A$5:$C$46003,2,)</f>
        <v>Fornecedores</v>
      </c>
      <c r="I860" s="87"/>
    </row>
    <row r="861" spans="1:9" ht="12.75" customHeight="1" x14ac:dyDescent="0.2">
      <c r="A861" s="94" t="s">
        <v>5323</v>
      </c>
      <c r="B861" s="87" t="s">
        <v>435</v>
      </c>
      <c r="C861" s="87" t="s">
        <v>5333</v>
      </c>
      <c r="D861" s="88">
        <v>13904.37</v>
      </c>
      <c r="E861" s="89"/>
      <c r="F861" s="89"/>
      <c r="G861" s="87" t="str">
        <f t="shared" si="13"/>
        <v>213110400'= CONTAS A PAGAR CREDORES NACIONAIS105000026607470286000118</v>
      </c>
      <c r="H861" s="87" t="str">
        <f>VLOOKUP(Tabela1[[#This Row],[CONCATENAR]],'Classificações - Demonstrações'!$A$5:$C$46003,2,)</f>
        <v>Fornecedores</v>
      </c>
      <c r="I861" s="87"/>
    </row>
    <row r="862" spans="1:9" ht="12.75" customHeight="1" x14ac:dyDescent="0.2">
      <c r="A862" s="94" t="s">
        <v>5323</v>
      </c>
      <c r="B862" s="87" t="s">
        <v>435</v>
      </c>
      <c r="C862" s="87" t="s">
        <v>4789</v>
      </c>
      <c r="D862" s="88">
        <v>0</v>
      </c>
      <c r="E862" s="89"/>
      <c r="F862" s="89"/>
      <c r="G862" s="87" t="str">
        <f t="shared" si="13"/>
        <v>213110400'= CONTAS A PAGAR CREDORES NACIONAIS105000026607710046000143</v>
      </c>
      <c r="H862" s="87" t="str">
        <f>VLOOKUP(Tabela1[[#This Row],[CONCATENAR]],'Classificações - Demonstrações'!$A$5:$C$46003,2,)</f>
        <v>Fornecedores</v>
      </c>
      <c r="I862" s="87"/>
    </row>
    <row r="863" spans="1:9" ht="12.75" customHeight="1" x14ac:dyDescent="0.2">
      <c r="A863" s="94" t="s">
        <v>5323</v>
      </c>
      <c r="B863" s="87" t="s">
        <v>435</v>
      </c>
      <c r="C863" s="87" t="s">
        <v>5781</v>
      </c>
      <c r="D863" s="88">
        <v>46139.519999999997</v>
      </c>
      <c r="E863" s="89"/>
      <c r="F863" s="89"/>
      <c r="G863" s="87" t="str">
        <f t="shared" si="13"/>
        <v>213110400'= CONTAS A PAGAR CREDORES NACIONAIS105000026607835506000160</v>
      </c>
      <c r="H863" s="87" t="str">
        <f>VLOOKUP(Tabela1[[#This Row],[CONCATENAR]],'Classificações - Demonstrações'!$A$5:$C$46003,2,)</f>
        <v>Fornecedores</v>
      </c>
      <c r="I863" s="87"/>
    </row>
    <row r="864" spans="1:9" ht="12.75" customHeight="1" x14ac:dyDescent="0.2">
      <c r="A864" s="94" t="s">
        <v>5323</v>
      </c>
      <c r="B864" s="87" t="s">
        <v>435</v>
      </c>
      <c r="C864" s="87" t="s">
        <v>4543</v>
      </c>
      <c r="D864" s="88">
        <v>7086.56</v>
      </c>
      <c r="E864" s="89"/>
      <c r="F864" s="89"/>
      <c r="G864" s="87" t="str">
        <f t="shared" si="13"/>
        <v>213110400'= CONTAS A PAGAR CREDORES NACIONAIS105000026608012469000152</v>
      </c>
      <c r="H864" s="87" t="str">
        <f>VLOOKUP(Tabela1[[#This Row],[CONCATENAR]],'Classificações - Demonstrações'!$A$5:$C$46003,2,)</f>
        <v>Fornecedores</v>
      </c>
      <c r="I864" s="87"/>
    </row>
    <row r="865" spans="1:9" ht="12.75" customHeight="1" x14ac:dyDescent="0.2">
      <c r="A865" s="94" t="s">
        <v>5323</v>
      </c>
      <c r="B865" s="87" t="s">
        <v>435</v>
      </c>
      <c r="C865" s="87" t="s">
        <v>5782</v>
      </c>
      <c r="D865" s="88">
        <v>60</v>
      </c>
      <c r="E865" s="89"/>
      <c r="F865" s="89"/>
      <c r="G865" s="87" t="str">
        <f t="shared" si="13"/>
        <v>213110400'= CONTAS A PAGAR CREDORES NACIONAIS105000026608100057000174</v>
      </c>
      <c r="H865" s="87" t="str">
        <f>VLOOKUP(Tabela1[[#This Row],[CONCATENAR]],'Classificações - Demonstrações'!$A$5:$C$46003,2,)</f>
        <v>Fornecedores</v>
      </c>
      <c r="I865" s="87"/>
    </row>
    <row r="866" spans="1:9" ht="12.75" customHeight="1" x14ac:dyDescent="0.2">
      <c r="A866" s="94" t="s">
        <v>5323</v>
      </c>
      <c r="B866" s="87" t="s">
        <v>435</v>
      </c>
      <c r="C866" s="87" t="s">
        <v>523</v>
      </c>
      <c r="D866" s="88">
        <v>2096.6999999999998</v>
      </c>
      <c r="E866" s="89"/>
      <c r="F866" s="89"/>
      <c r="G866" s="87" t="str">
        <f t="shared" si="13"/>
        <v>213110400'= CONTAS A PAGAR CREDORES NACIONAIS105000026608101451000127</v>
      </c>
      <c r="H866" s="87" t="str">
        <f>VLOOKUP(Tabela1[[#This Row],[CONCATENAR]],'Classificações - Demonstrações'!$A$5:$C$46003,2,)</f>
        <v>Fornecedores</v>
      </c>
      <c r="I866" s="87"/>
    </row>
    <row r="867" spans="1:9" ht="12.75" customHeight="1" x14ac:dyDescent="0.2">
      <c r="A867" s="94" t="s">
        <v>5323</v>
      </c>
      <c r="B867" s="87" t="s">
        <v>435</v>
      </c>
      <c r="C867" s="87" t="s">
        <v>4790</v>
      </c>
      <c r="D867" s="88">
        <v>0</v>
      </c>
      <c r="E867" s="89"/>
      <c r="F867" s="89"/>
      <c r="G867" s="87" t="str">
        <f t="shared" si="13"/>
        <v>213110400'= CONTAS A PAGAR CREDORES NACIONAIS105000026608172784000309</v>
      </c>
      <c r="H867" s="87" t="str">
        <f>VLOOKUP(Tabela1[[#This Row],[CONCATENAR]],'Classificações - Demonstrações'!$A$5:$C$46003,2,)</f>
        <v>Fornecedores</v>
      </c>
      <c r="I867" s="87"/>
    </row>
    <row r="868" spans="1:9" ht="12.75" customHeight="1" x14ac:dyDescent="0.2">
      <c r="A868" s="94" t="s">
        <v>5323</v>
      </c>
      <c r="B868" s="87" t="s">
        <v>435</v>
      </c>
      <c r="C868" s="87" t="s">
        <v>4791</v>
      </c>
      <c r="D868" s="88">
        <v>0</v>
      </c>
      <c r="E868" s="89"/>
      <c r="F868" s="89"/>
      <c r="G868" s="87" t="str">
        <f t="shared" si="13"/>
        <v>213110400'= CONTAS A PAGAR CREDORES NACIONAIS105000026608689801000118</v>
      </c>
      <c r="H868" s="87" t="str">
        <f>VLOOKUP(Tabela1[[#This Row],[CONCATENAR]],'Classificações - Demonstrações'!$A$5:$C$46003,2,)</f>
        <v>Fornecedores</v>
      </c>
      <c r="I868" s="87"/>
    </row>
    <row r="869" spans="1:9" ht="12.75" customHeight="1" x14ac:dyDescent="0.2">
      <c r="A869" s="94" t="s">
        <v>5323</v>
      </c>
      <c r="B869" s="87" t="s">
        <v>435</v>
      </c>
      <c r="C869" s="87" t="s">
        <v>6117</v>
      </c>
      <c r="D869" s="88">
        <v>0</v>
      </c>
      <c r="E869" s="89"/>
      <c r="F869" s="89"/>
      <c r="G869" s="87" t="str">
        <f t="shared" si="13"/>
        <v>213110400'= CONTAS A PAGAR CREDORES NACIONAIS105000026609209275000104</v>
      </c>
      <c r="H869" s="87" t="str">
        <f>VLOOKUP(Tabela1[[#This Row],[CONCATENAR]],'Classificações - Demonstrações'!$A$5:$C$46003,2,)</f>
        <v>Fornecedores</v>
      </c>
      <c r="I869" s="87"/>
    </row>
    <row r="870" spans="1:9" ht="12.75" customHeight="1" x14ac:dyDescent="0.2">
      <c r="A870" s="94" t="s">
        <v>5323</v>
      </c>
      <c r="B870" s="87" t="s">
        <v>435</v>
      </c>
      <c r="C870" s="87" t="s">
        <v>6118</v>
      </c>
      <c r="D870" s="88">
        <v>0</v>
      </c>
      <c r="E870" s="89"/>
      <c r="F870" s="89"/>
      <c r="G870" s="87" t="str">
        <f t="shared" si="13"/>
        <v>213110400'= CONTAS A PAGAR CREDORES NACIONAIS105000026609292002000176</v>
      </c>
      <c r="H870" s="87" t="str">
        <f>VLOOKUP(Tabela1[[#This Row],[CONCATENAR]],'Classificações - Demonstrações'!$A$5:$C$46003,2,)</f>
        <v>Fornecedores</v>
      </c>
      <c r="I870" s="87"/>
    </row>
    <row r="871" spans="1:9" ht="12.75" customHeight="1" x14ac:dyDescent="0.2">
      <c r="A871" s="94" t="s">
        <v>5323</v>
      </c>
      <c r="B871" s="87" t="s">
        <v>435</v>
      </c>
      <c r="C871" s="87" t="s">
        <v>6119</v>
      </c>
      <c r="D871" s="88">
        <v>1440.55</v>
      </c>
      <c r="E871" s="89"/>
      <c r="F871" s="89"/>
      <c r="G871" s="87" t="str">
        <f t="shared" si="13"/>
        <v>213110400'= CONTAS A PAGAR CREDORES NACIONAIS105000026609452853000139</v>
      </c>
      <c r="H871" s="87" t="str">
        <f>VLOOKUP(Tabela1[[#This Row],[CONCATENAR]],'Classificações - Demonstrações'!$A$5:$C$46003,2,)</f>
        <v>Fornecedores</v>
      </c>
      <c r="I871" s="87"/>
    </row>
    <row r="872" spans="1:9" ht="12.75" customHeight="1" x14ac:dyDescent="0.2">
      <c r="A872" s="94" t="s">
        <v>5323</v>
      </c>
      <c r="B872" s="87" t="s">
        <v>435</v>
      </c>
      <c r="C872" s="87" t="s">
        <v>6120</v>
      </c>
      <c r="D872" s="88">
        <v>0</v>
      </c>
      <c r="E872" s="89"/>
      <c r="F872" s="89"/>
      <c r="G872" s="87" t="str">
        <f t="shared" si="13"/>
        <v>213110400'= CONTAS A PAGAR CREDORES NACIONAIS105000026609471199000100</v>
      </c>
      <c r="H872" s="87" t="str">
        <f>VLOOKUP(Tabela1[[#This Row],[CONCATENAR]],'Classificações - Demonstrações'!$A$5:$C$46003,2,)</f>
        <v>Fornecedores</v>
      </c>
      <c r="I872" s="87"/>
    </row>
    <row r="873" spans="1:9" ht="12.75" customHeight="1" x14ac:dyDescent="0.2">
      <c r="A873" s="94" t="s">
        <v>5323</v>
      </c>
      <c r="B873" s="87" t="s">
        <v>435</v>
      </c>
      <c r="C873" s="87" t="s">
        <v>5783</v>
      </c>
      <c r="D873" s="88">
        <v>0</v>
      </c>
      <c r="E873" s="89"/>
      <c r="F873" s="89"/>
      <c r="G873" s="87" t="str">
        <f t="shared" si="13"/>
        <v>213110400'= CONTAS A PAGAR CREDORES NACIONAIS105000026609622294000168</v>
      </c>
      <c r="H873" s="87" t="str">
        <f>VLOOKUP(Tabela1[[#This Row],[CONCATENAR]],'Classificações - Demonstrações'!$A$5:$C$46003,2,)</f>
        <v>Fornecedores</v>
      </c>
      <c r="I873" s="87"/>
    </row>
    <row r="874" spans="1:9" ht="12.75" customHeight="1" x14ac:dyDescent="0.2">
      <c r="A874" s="94" t="s">
        <v>5323</v>
      </c>
      <c r="B874" s="87" t="s">
        <v>435</v>
      </c>
      <c r="C874" s="87" t="s">
        <v>5784</v>
      </c>
      <c r="D874" s="88">
        <v>363817.76</v>
      </c>
      <c r="E874" s="89"/>
      <c r="F874" s="89"/>
      <c r="G874" s="87" t="str">
        <f t="shared" si="13"/>
        <v>213110400'= CONTAS A PAGAR CREDORES NACIONAIS105000026610380412000158</v>
      </c>
      <c r="H874" s="87" t="str">
        <f>VLOOKUP(Tabela1[[#This Row],[CONCATENAR]],'Classificações - Demonstrações'!$A$5:$C$46003,2,)</f>
        <v>Fornecedores</v>
      </c>
      <c r="I874" s="87"/>
    </row>
    <row r="875" spans="1:9" ht="12.75" customHeight="1" x14ac:dyDescent="0.2">
      <c r="A875" s="94" t="s">
        <v>5323</v>
      </c>
      <c r="B875" s="87" t="s">
        <v>435</v>
      </c>
      <c r="C875" s="87" t="s">
        <v>6121</v>
      </c>
      <c r="D875" s="88">
        <v>0</v>
      </c>
      <c r="E875" s="89"/>
      <c r="F875" s="89"/>
      <c r="G875" s="87" t="str">
        <f t="shared" si="13"/>
        <v>213110400'= CONTAS A PAGAR CREDORES NACIONAIS105000026610430390000193</v>
      </c>
      <c r="H875" s="87" t="str">
        <f>VLOOKUP(Tabela1[[#This Row],[CONCATENAR]],'Classificações - Demonstrações'!$A$5:$C$46003,2,)</f>
        <v>Fornecedores</v>
      </c>
      <c r="I875" s="87"/>
    </row>
    <row r="876" spans="1:9" ht="12.75" customHeight="1" x14ac:dyDescent="0.2">
      <c r="A876" s="94" t="s">
        <v>5323</v>
      </c>
      <c r="B876" s="87" t="s">
        <v>435</v>
      </c>
      <c r="C876" s="87" t="s">
        <v>4792</v>
      </c>
      <c r="D876" s="88">
        <v>0</v>
      </c>
      <c r="E876" s="89"/>
      <c r="F876" s="89"/>
      <c r="G876" s="87" t="str">
        <f t="shared" si="13"/>
        <v>213110400'= CONTAS A PAGAR CREDORES NACIONAIS105000026610656610000100</v>
      </c>
      <c r="H876" s="87" t="str">
        <f>VLOOKUP(Tabela1[[#This Row],[CONCATENAR]],'Classificações - Demonstrações'!$A$5:$C$46003,2,)</f>
        <v>Fornecedores</v>
      </c>
      <c r="I876" s="87"/>
    </row>
    <row r="877" spans="1:9" ht="12.75" customHeight="1" x14ac:dyDescent="0.2">
      <c r="A877" s="94" t="s">
        <v>5323</v>
      </c>
      <c r="B877" s="87" t="s">
        <v>435</v>
      </c>
      <c r="C877" s="87" t="s">
        <v>5673</v>
      </c>
      <c r="D877" s="88">
        <v>349629.5</v>
      </c>
      <c r="E877" s="89"/>
      <c r="F877" s="89"/>
      <c r="G877" s="87" t="str">
        <f t="shared" si="13"/>
        <v>213110400'= CONTAS A PAGAR CREDORES NACIONAIS105000026610733675000101</v>
      </c>
      <c r="H877" s="87" t="str">
        <f>VLOOKUP(Tabela1[[#This Row],[CONCATENAR]],'Classificações - Demonstrações'!$A$5:$C$46003,2,)</f>
        <v>Fornecedores</v>
      </c>
      <c r="I877" s="87"/>
    </row>
    <row r="878" spans="1:9" ht="12.75" customHeight="1" x14ac:dyDescent="0.2">
      <c r="A878" s="94" t="s">
        <v>5323</v>
      </c>
      <c r="B878" s="87" t="s">
        <v>435</v>
      </c>
      <c r="C878" s="87" t="s">
        <v>6122</v>
      </c>
      <c r="D878" s="88">
        <v>0</v>
      </c>
      <c r="E878" s="89"/>
      <c r="F878" s="89"/>
      <c r="G878" s="87" t="str">
        <f t="shared" si="13"/>
        <v>213110400'= CONTAS A PAGAR CREDORES NACIONAIS105000026610992676000162</v>
      </c>
      <c r="H878" s="87" t="str">
        <f>VLOOKUP(Tabela1[[#This Row],[CONCATENAR]],'Classificações - Demonstrações'!$A$5:$C$46003,2,)</f>
        <v>Fornecedores</v>
      </c>
      <c r="I878" s="87"/>
    </row>
    <row r="879" spans="1:9" ht="12.75" customHeight="1" x14ac:dyDescent="0.2">
      <c r="A879" s="94" t="s">
        <v>5323</v>
      </c>
      <c r="B879" s="87" t="s">
        <v>435</v>
      </c>
      <c r="C879" s="87" t="s">
        <v>524</v>
      </c>
      <c r="D879" s="88">
        <v>10100</v>
      </c>
      <c r="E879" s="89"/>
      <c r="F879" s="89"/>
      <c r="G879" s="87" t="str">
        <f t="shared" si="13"/>
        <v>213110400'= CONTAS A PAGAR CREDORES NACIONAIS105000026611114572000118</v>
      </c>
      <c r="H879" s="87" t="str">
        <f>VLOOKUP(Tabela1[[#This Row],[CONCATENAR]],'Classificações - Demonstrações'!$A$5:$C$46003,2,)</f>
        <v>Fornecedores</v>
      </c>
      <c r="I879" s="87"/>
    </row>
    <row r="880" spans="1:9" ht="12.75" customHeight="1" x14ac:dyDescent="0.2">
      <c r="A880" s="94" t="s">
        <v>5323</v>
      </c>
      <c r="B880" s="87" t="s">
        <v>435</v>
      </c>
      <c r="C880" s="87" t="s">
        <v>525</v>
      </c>
      <c r="D880" s="88">
        <v>29524</v>
      </c>
      <c r="E880" s="89"/>
      <c r="F880" s="89"/>
      <c r="G880" s="87" t="str">
        <f t="shared" si="13"/>
        <v>213110400'= CONTAS A PAGAR CREDORES NACIONAIS105000026611117193000181</v>
      </c>
      <c r="H880" s="87" t="str">
        <f>VLOOKUP(Tabela1[[#This Row],[CONCATENAR]],'Classificações - Demonstrações'!$A$5:$C$46003,2,)</f>
        <v>Fornecedores</v>
      </c>
      <c r="I880" s="87"/>
    </row>
    <row r="881" spans="1:9" ht="12.75" customHeight="1" x14ac:dyDescent="0.2">
      <c r="A881" s="94" t="s">
        <v>5323</v>
      </c>
      <c r="B881" s="87" t="s">
        <v>435</v>
      </c>
      <c r="C881" s="87" t="s">
        <v>5563</v>
      </c>
      <c r="D881" s="88">
        <v>46776.21</v>
      </c>
      <c r="E881" s="89"/>
      <c r="F881" s="89"/>
      <c r="G881" s="87" t="str">
        <f t="shared" si="13"/>
        <v>213110400'= CONTAS A PAGAR CREDORES NACIONAIS105000026611395635000151</v>
      </c>
      <c r="H881" s="87" t="str">
        <f>VLOOKUP(Tabela1[[#This Row],[CONCATENAR]],'Classificações - Demonstrações'!$A$5:$C$46003,2,)</f>
        <v>Fornecedores</v>
      </c>
      <c r="I881" s="87"/>
    </row>
    <row r="882" spans="1:9" ht="12.75" customHeight="1" x14ac:dyDescent="0.2">
      <c r="A882" s="94" t="s">
        <v>5323</v>
      </c>
      <c r="B882" s="87" t="s">
        <v>435</v>
      </c>
      <c r="C882" s="87" t="s">
        <v>4793</v>
      </c>
      <c r="D882" s="88">
        <v>0</v>
      </c>
      <c r="E882" s="89"/>
      <c r="F882" s="89"/>
      <c r="G882" s="87" t="str">
        <f t="shared" si="13"/>
        <v>213110400'= CONTAS A PAGAR CREDORES NACIONAIS105000026611699534000174</v>
      </c>
      <c r="H882" s="87" t="str">
        <f>VLOOKUP(Tabela1[[#This Row],[CONCATENAR]],'Classificações - Demonstrações'!$A$5:$C$46003,2,)</f>
        <v>Fornecedores</v>
      </c>
      <c r="I882" s="87"/>
    </row>
    <row r="883" spans="1:9" ht="12.75" customHeight="1" x14ac:dyDescent="0.2">
      <c r="A883" s="94" t="s">
        <v>5323</v>
      </c>
      <c r="B883" s="87" t="s">
        <v>435</v>
      </c>
      <c r="C883" s="87" t="s">
        <v>4794</v>
      </c>
      <c r="D883" s="88">
        <v>0</v>
      </c>
      <c r="E883" s="89"/>
      <c r="F883" s="89"/>
      <c r="G883" s="87" t="str">
        <f t="shared" si="13"/>
        <v>213110400'= CONTAS A PAGAR CREDORES NACIONAIS105000026611880336000102</v>
      </c>
      <c r="H883" s="87" t="str">
        <f>VLOOKUP(Tabela1[[#This Row],[CONCATENAR]],'Classificações - Demonstrações'!$A$5:$C$46003,2,)</f>
        <v>Fornecedores</v>
      </c>
      <c r="I883" s="87"/>
    </row>
    <row r="884" spans="1:9" ht="12.75" customHeight="1" x14ac:dyDescent="0.2">
      <c r="A884" s="94" t="s">
        <v>5323</v>
      </c>
      <c r="B884" s="87" t="s">
        <v>435</v>
      </c>
      <c r="C884" s="87" t="s">
        <v>526</v>
      </c>
      <c r="D884" s="88">
        <v>870</v>
      </c>
      <c r="E884" s="89"/>
      <c r="F884" s="89"/>
      <c r="G884" s="87" t="str">
        <f t="shared" si="13"/>
        <v>213110400'= CONTAS A PAGAR CREDORES NACIONAIS105000026611903685000100</v>
      </c>
      <c r="H884" s="87" t="str">
        <f>VLOOKUP(Tabela1[[#This Row],[CONCATENAR]],'Classificações - Demonstrações'!$A$5:$C$46003,2,)</f>
        <v>Fornecedores</v>
      </c>
      <c r="I884" s="87"/>
    </row>
    <row r="885" spans="1:9" ht="12.75" customHeight="1" x14ac:dyDescent="0.2">
      <c r="A885" s="94" t="s">
        <v>5323</v>
      </c>
      <c r="B885" s="87" t="s">
        <v>435</v>
      </c>
      <c r="C885" s="87" t="s">
        <v>5785</v>
      </c>
      <c r="D885" s="88">
        <v>58520</v>
      </c>
      <c r="E885" s="89"/>
      <c r="F885" s="89"/>
      <c r="G885" s="87" t="str">
        <f t="shared" si="13"/>
        <v>213110400'= CONTAS A PAGAR CREDORES NACIONAIS105000026612520892000130</v>
      </c>
      <c r="H885" s="87" t="str">
        <f>VLOOKUP(Tabela1[[#This Row],[CONCATENAR]],'Classificações - Demonstrações'!$A$5:$C$46003,2,)</f>
        <v>Fornecedores</v>
      </c>
      <c r="I885" s="87"/>
    </row>
    <row r="886" spans="1:9" ht="12.75" customHeight="1" x14ac:dyDescent="0.2">
      <c r="A886" s="94" t="s">
        <v>5323</v>
      </c>
      <c r="B886" s="87" t="s">
        <v>435</v>
      </c>
      <c r="C886" s="87" t="s">
        <v>6123</v>
      </c>
      <c r="D886" s="88">
        <v>0</v>
      </c>
      <c r="E886" s="89"/>
      <c r="F886" s="89"/>
      <c r="G886" s="87" t="str">
        <f t="shared" si="13"/>
        <v>213110400'= CONTAS A PAGAR CREDORES NACIONAIS105000026613751924000171</v>
      </c>
      <c r="H886" s="87" t="str">
        <f>VLOOKUP(Tabela1[[#This Row],[CONCATENAR]],'Classificações - Demonstrações'!$A$5:$C$46003,2,)</f>
        <v>Fornecedores</v>
      </c>
      <c r="I886" s="87"/>
    </row>
    <row r="887" spans="1:9" ht="12.75" customHeight="1" x14ac:dyDescent="0.2">
      <c r="A887" s="94" t="s">
        <v>5323</v>
      </c>
      <c r="B887" s="87" t="s">
        <v>435</v>
      </c>
      <c r="C887" s="87" t="s">
        <v>5786</v>
      </c>
      <c r="D887" s="88">
        <v>30134.83</v>
      </c>
      <c r="E887" s="89"/>
      <c r="F887" s="89"/>
      <c r="G887" s="87" t="str">
        <f t="shared" si="13"/>
        <v>213110400'= CONTAS A PAGAR CREDORES NACIONAIS105000026614000561000103</v>
      </c>
      <c r="H887" s="87" t="str">
        <f>VLOOKUP(Tabela1[[#This Row],[CONCATENAR]],'Classificações - Demonstrações'!$A$5:$C$46003,2,)</f>
        <v>Fornecedores</v>
      </c>
      <c r="I887" s="87"/>
    </row>
    <row r="888" spans="1:9" ht="12.75" customHeight="1" x14ac:dyDescent="0.2">
      <c r="A888" s="94" t="s">
        <v>5323</v>
      </c>
      <c r="B888" s="87" t="s">
        <v>435</v>
      </c>
      <c r="C888" s="87" t="s">
        <v>5787</v>
      </c>
      <c r="D888" s="88">
        <v>0</v>
      </c>
      <c r="E888" s="89"/>
      <c r="F888" s="89"/>
      <c r="G888" s="87" t="str">
        <f t="shared" si="13"/>
        <v>213110400'= CONTAS A PAGAR CREDORES NACIONAIS105000026614140574000170</v>
      </c>
      <c r="H888" s="87" t="str">
        <f>VLOOKUP(Tabela1[[#This Row],[CONCATENAR]],'Classificações - Demonstrações'!$A$5:$C$46003,2,)</f>
        <v>Fornecedores</v>
      </c>
      <c r="I888" s="87"/>
    </row>
    <row r="889" spans="1:9" ht="12.75" customHeight="1" x14ac:dyDescent="0.2">
      <c r="A889" s="94" t="s">
        <v>5323</v>
      </c>
      <c r="B889" s="87" t="s">
        <v>435</v>
      </c>
      <c r="C889" s="87" t="s">
        <v>527</v>
      </c>
      <c r="D889" s="88">
        <v>603.04999999999995</v>
      </c>
      <c r="E889" s="89"/>
      <c r="F889" s="89"/>
      <c r="G889" s="87" t="str">
        <f t="shared" si="13"/>
        <v>213110400'= CONTAS A PAGAR CREDORES NACIONAIS105000026617474484000103</v>
      </c>
      <c r="H889" s="87" t="str">
        <f>VLOOKUP(Tabela1[[#This Row],[CONCATENAR]],'Classificações - Demonstrações'!$A$5:$C$46003,2,)</f>
        <v>Fornecedores</v>
      </c>
      <c r="I889" s="87"/>
    </row>
    <row r="890" spans="1:9" ht="12.75" customHeight="1" x14ac:dyDescent="0.2">
      <c r="A890" s="94" t="s">
        <v>5323</v>
      </c>
      <c r="B890" s="87" t="s">
        <v>435</v>
      </c>
      <c r="C890" s="87" t="s">
        <v>528</v>
      </c>
      <c r="D890" s="88">
        <v>5900</v>
      </c>
      <c r="E890" s="89"/>
      <c r="F890" s="89"/>
      <c r="G890" s="87" t="str">
        <f t="shared" si="13"/>
        <v>213110400'= CONTAS A PAGAR CREDORES NACIONAIS105000026617643102000128</v>
      </c>
      <c r="H890" s="87" t="str">
        <f>VLOOKUP(Tabela1[[#This Row],[CONCATENAR]],'Classificações - Demonstrações'!$A$5:$C$46003,2,)</f>
        <v>Fornecedores</v>
      </c>
      <c r="I890" s="87"/>
    </row>
    <row r="891" spans="1:9" ht="12.75" customHeight="1" x14ac:dyDescent="0.2">
      <c r="A891" s="94" t="s">
        <v>5323</v>
      </c>
      <c r="B891" s="87" t="s">
        <v>435</v>
      </c>
      <c r="C891" s="87" t="s">
        <v>6124</v>
      </c>
      <c r="D891" s="88">
        <v>0</v>
      </c>
      <c r="E891" s="89"/>
      <c r="F891" s="89"/>
      <c r="G891" s="87" t="str">
        <f t="shared" si="13"/>
        <v>213110400'= CONTAS A PAGAR CREDORES NACIONAIS105000026619038976000181</v>
      </c>
      <c r="H891" s="87" t="str">
        <f>VLOOKUP(Tabela1[[#This Row],[CONCATENAR]],'Classificações - Demonstrações'!$A$5:$C$46003,2,)</f>
        <v>Fornecedores</v>
      </c>
      <c r="I891" s="87"/>
    </row>
    <row r="892" spans="1:9" ht="12.75" customHeight="1" x14ac:dyDescent="0.2">
      <c r="A892" s="94" t="s">
        <v>5323</v>
      </c>
      <c r="B892" s="87" t="s">
        <v>435</v>
      </c>
      <c r="C892" s="87" t="s">
        <v>4795</v>
      </c>
      <c r="D892" s="88">
        <v>211111.9</v>
      </c>
      <c r="E892" s="89"/>
      <c r="F892" s="89"/>
      <c r="G892" s="87" t="str">
        <f t="shared" si="13"/>
        <v>213110400'= CONTAS A PAGAR CREDORES NACIONAIS105000026619069562000110</v>
      </c>
      <c r="H892" s="87" t="str">
        <f>VLOOKUP(Tabela1[[#This Row],[CONCATENAR]],'Classificações - Demonstrações'!$A$5:$C$46003,2,)</f>
        <v>Fornecedores</v>
      </c>
      <c r="I892" s="87"/>
    </row>
    <row r="893" spans="1:9" ht="12.75" customHeight="1" x14ac:dyDescent="0.2">
      <c r="A893" s="94" t="s">
        <v>5323</v>
      </c>
      <c r="B893" s="87" t="s">
        <v>435</v>
      </c>
      <c r="C893" s="87" t="s">
        <v>6125</v>
      </c>
      <c r="D893" s="88">
        <v>0</v>
      </c>
      <c r="E893" s="89"/>
      <c r="F893" s="89"/>
      <c r="G893" s="87" t="str">
        <f t="shared" si="13"/>
        <v>213110400'= CONTAS A PAGAR CREDORES NACIONAIS105000026620915727000106</v>
      </c>
      <c r="H893" s="87" t="str">
        <f>VLOOKUP(Tabela1[[#This Row],[CONCATENAR]],'Classificações - Demonstrações'!$A$5:$C$46003,2,)</f>
        <v>Fornecedores</v>
      </c>
      <c r="I893" s="87"/>
    </row>
    <row r="894" spans="1:9" ht="12.75" customHeight="1" x14ac:dyDescent="0.2">
      <c r="A894" s="94" t="s">
        <v>5323</v>
      </c>
      <c r="B894" s="87" t="s">
        <v>435</v>
      </c>
      <c r="C894" s="87" t="s">
        <v>6126</v>
      </c>
      <c r="D894" s="88">
        <v>0</v>
      </c>
      <c r="E894" s="89"/>
      <c r="F894" s="89"/>
      <c r="G894" s="87" t="str">
        <f t="shared" si="13"/>
        <v>213110400'= CONTAS A PAGAR CREDORES NACIONAIS105000026622122705000114</v>
      </c>
      <c r="H894" s="87" t="str">
        <f>VLOOKUP(Tabela1[[#This Row],[CONCATENAR]],'Classificações - Demonstrações'!$A$5:$C$46003,2,)</f>
        <v>Fornecedores</v>
      </c>
      <c r="I894" s="87"/>
    </row>
    <row r="895" spans="1:9" ht="12.75" customHeight="1" x14ac:dyDescent="0.2">
      <c r="A895" s="94" t="s">
        <v>5323</v>
      </c>
      <c r="B895" s="87" t="s">
        <v>435</v>
      </c>
      <c r="C895" s="87" t="s">
        <v>5774</v>
      </c>
      <c r="D895" s="88">
        <v>0</v>
      </c>
      <c r="E895" s="89"/>
      <c r="F895" s="89"/>
      <c r="G895" s="87" t="str">
        <f t="shared" si="13"/>
        <v>213110400'= CONTAS A PAGAR CREDORES NACIONAIS105000026624239418000114</v>
      </c>
      <c r="H895" s="87" t="str">
        <f>VLOOKUP(Tabela1[[#This Row],[CONCATENAR]],'Classificações - Demonstrações'!$A$5:$C$46003,2,)</f>
        <v>Fornecedores</v>
      </c>
      <c r="I895" s="87"/>
    </row>
    <row r="896" spans="1:9" ht="12.75" customHeight="1" x14ac:dyDescent="0.2">
      <c r="A896" s="94" t="s">
        <v>5323</v>
      </c>
      <c r="B896" s="87" t="s">
        <v>435</v>
      </c>
      <c r="C896" s="87" t="s">
        <v>5674</v>
      </c>
      <c r="D896" s="88">
        <v>72857.149999999994</v>
      </c>
      <c r="E896" s="89"/>
      <c r="F896" s="89"/>
      <c r="G896" s="87" t="str">
        <f t="shared" si="13"/>
        <v>213110400'= CONTAS A PAGAR CREDORES NACIONAIS105000026625258766000100</v>
      </c>
      <c r="H896" s="87" t="str">
        <f>VLOOKUP(Tabela1[[#This Row],[CONCATENAR]],'Classificações - Demonstrações'!$A$5:$C$46003,2,)</f>
        <v>Fornecedores</v>
      </c>
      <c r="I896" s="87"/>
    </row>
    <row r="897" spans="1:9" ht="12.75" customHeight="1" x14ac:dyDescent="0.2">
      <c r="A897" s="94" t="s">
        <v>5323</v>
      </c>
      <c r="B897" s="87" t="s">
        <v>435</v>
      </c>
      <c r="C897" s="87" t="s">
        <v>6127</v>
      </c>
      <c r="D897" s="88">
        <v>6803.28</v>
      </c>
      <c r="E897" s="89"/>
      <c r="F897" s="89"/>
      <c r="G897" s="87" t="str">
        <f t="shared" si="13"/>
        <v>213110400'= CONTAS A PAGAR CREDORES NACIONAIS105000026626481299000137</v>
      </c>
      <c r="H897" s="87" t="str">
        <f>VLOOKUP(Tabela1[[#This Row],[CONCATENAR]],'Classificações - Demonstrações'!$A$5:$C$46003,2,)</f>
        <v>Fornecedores</v>
      </c>
      <c r="I897" s="87"/>
    </row>
    <row r="898" spans="1:9" ht="12.75" customHeight="1" x14ac:dyDescent="0.2">
      <c r="A898" s="94" t="s">
        <v>5323</v>
      </c>
      <c r="B898" s="87" t="s">
        <v>435</v>
      </c>
      <c r="C898" s="87" t="s">
        <v>6128</v>
      </c>
      <c r="D898" s="88">
        <v>0</v>
      </c>
      <c r="E898" s="89"/>
      <c r="F898" s="89"/>
      <c r="G898" s="87" t="str">
        <f t="shared" si="13"/>
        <v>213110400'= CONTAS A PAGAR CREDORES NACIONAIS105000026626692162000121</v>
      </c>
      <c r="H898" s="87" t="str">
        <f>VLOOKUP(Tabela1[[#This Row],[CONCATENAR]],'Classificações - Demonstrações'!$A$5:$C$46003,2,)</f>
        <v>Fornecedores</v>
      </c>
      <c r="I898" s="87"/>
    </row>
    <row r="899" spans="1:9" ht="12.75" customHeight="1" x14ac:dyDescent="0.2">
      <c r="A899" s="94" t="s">
        <v>5323</v>
      </c>
      <c r="B899" s="87" t="s">
        <v>435</v>
      </c>
      <c r="C899" s="87" t="s">
        <v>6129</v>
      </c>
      <c r="D899" s="88">
        <v>0</v>
      </c>
      <c r="E899" s="89"/>
      <c r="F899" s="89"/>
      <c r="G899" s="87" t="str">
        <f t="shared" si="13"/>
        <v>213110400'= CONTAS A PAGAR CREDORES NACIONAIS105000026627490346000171</v>
      </c>
      <c r="H899" s="87" t="str">
        <f>VLOOKUP(Tabela1[[#This Row],[CONCATENAR]],'Classificações - Demonstrações'!$A$5:$C$46003,2,)</f>
        <v>Fornecedores</v>
      </c>
      <c r="I899" s="87"/>
    </row>
    <row r="900" spans="1:9" ht="12.75" customHeight="1" x14ac:dyDescent="0.2">
      <c r="A900" s="94" t="s">
        <v>5323</v>
      </c>
      <c r="B900" s="87" t="s">
        <v>435</v>
      </c>
      <c r="C900" s="87" t="s">
        <v>4796</v>
      </c>
      <c r="D900" s="88">
        <v>0</v>
      </c>
      <c r="E900" s="89"/>
      <c r="F900" s="89"/>
      <c r="G900" s="87" t="str">
        <f t="shared" si="13"/>
        <v>213110400'= CONTAS A PAGAR CREDORES NACIONAIS105000026629912565000127</v>
      </c>
      <c r="H900" s="87" t="str">
        <f>VLOOKUP(Tabela1[[#This Row],[CONCATENAR]],'Classificações - Demonstrações'!$A$5:$C$46003,2,)</f>
        <v>Fornecedores</v>
      </c>
      <c r="I900" s="87"/>
    </row>
    <row r="901" spans="1:9" ht="12.75" customHeight="1" x14ac:dyDescent="0.2">
      <c r="A901" s="94" t="s">
        <v>5323</v>
      </c>
      <c r="B901" s="87" t="s">
        <v>435</v>
      </c>
      <c r="C901" s="87" t="s">
        <v>6130</v>
      </c>
      <c r="D901" s="88">
        <v>0</v>
      </c>
      <c r="E901" s="89"/>
      <c r="F901" s="89"/>
      <c r="G901" s="87" t="str">
        <f t="shared" ref="G901:G964" si="14">CONCATENATE(A901,B901,C901)</f>
        <v>213110400'= CONTAS A PAGAR CREDORES NACIONAIS105000026630020705000131</v>
      </c>
      <c r="H901" s="87" t="str">
        <f>VLOOKUP(Tabela1[[#This Row],[CONCATENAR]],'Classificações - Demonstrações'!$A$5:$C$46003,2,)</f>
        <v>Fornecedores</v>
      </c>
      <c r="I901" s="87"/>
    </row>
    <row r="902" spans="1:9" ht="12.75" customHeight="1" x14ac:dyDescent="0.2">
      <c r="A902" s="94" t="s">
        <v>5323</v>
      </c>
      <c r="B902" s="87" t="s">
        <v>435</v>
      </c>
      <c r="C902" s="87" t="s">
        <v>529</v>
      </c>
      <c r="D902" s="88">
        <v>4378</v>
      </c>
      <c r="E902" s="89"/>
      <c r="F902" s="89"/>
      <c r="G902" s="87" t="str">
        <f t="shared" si="14"/>
        <v>213110400'= CONTAS A PAGAR CREDORES NACIONAIS105000026630026710000151</v>
      </c>
      <c r="H902" s="87" t="str">
        <f>VLOOKUP(Tabela1[[#This Row],[CONCATENAR]],'Classificações - Demonstrações'!$A$5:$C$46003,2,)</f>
        <v>Fornecedores</v>
      </c>
      <c r="I902" s="87"/>
    </row>
    <row r="903" spans="1:9" ht="12.75" customHeight="1" x14ac:dyDescent="0.2">
      <c r="A903" s="94" t="s">
        <v>5323</v>
      </c>
      <c r="B903" s="87" t="s">
        <v>435</v>
      </c>
      <c r="C903" s="87" t="s">
        <v>5788</v>
      </c>
      <c r="D903" s="88">
        <v>0</v>
      </c>
      <c r="E903" s="89"/>
      <c r="F903" s="89"/>
      <c r="G903" s="87" t="str">
        <f t="shared" si="14"/>
        <v>213110400'= CONTAS A PAGAR CREDORES NACIONAIS105000026631291390000200</v>
      </c>
      <c r="H903" s="87" t="str">
        <f>VLOOKUP(Tabela1[[#This Row],[CONCATENAR]],'Classificações - Demonstrações'!$A$5:$C$46003,2,)</f>
        <v>Fornecedores</v>
      </c>
      <c r="I903" s="87"/>
    </row>
    <row r="904" spans="1:9" ht="12.75" customHeight="1" x14ac:dyDescent="0.2">
      <c r="A904" s="94" t="s">
        <v>5323</v>
      </c>
      <c r="B904" s="87" t="s">
        <v>435</v>
      </c>
      <c r="C904" s="87" t="s">
        <v>530</v>
      </c>
      <c r="D904" s="88">
        <v>1170.44</v>
      </c>
      <c r="E904" s="89"/>
      <c r="F904" s="89"/>
      <c r="G904" s="87" t="str">
        <f t="shared" si="14"/>
        <v>213110400'= CONTAS A PAGAR CREDORES NACIONAIS105000026631563034000118</v>
      </c>
      <c r="H904" s="87" t="str">
        <f>VLOOKUP(Tabela1[[#This Row],[CONCATENAR]],'Classificações - Demonstrações'!$A$5:$C$46003,2,)</f>
        <v>Fornecedores</v>
      </c>
      <c r="I904" s="87"/>
    </row>
    <row r="905" spans="1:9" ht="12.75" customHeight="1" x14ac:dyDescent="0.2">
      <c r="A905" s="94" t="s">
        <v>5323</v>
      </c>
      <c r="B905" s="87" t="s">
        <v>435</v>
      </c>
      <c r="C905" s="87" t="s">
        <v>5789</v>
      </c>
      <c r="D905" s="88">
        <v>0</v>
      </c>
      <c r="E905" s="89"/>
      <c r="F905" s="89"/>
      <c r="G905" s="87" t="str">
        <f t="shared" si="14"/>
        <v>213110400'= CONTAS A PAGAR CREDORES NACIONAIS105000026631954621000138</v>
      </c>
      <c r="H905" s="87" t="str">
        <f>VLOOKUP(Tabela1[[#This Row],[CONCATENAR]],'Classificações - Demonstrações'!$A$5:$C$46003,2,)</f>
        <v>Fornecedores</v>
      </c>
      <c r="I905" s="87"/>
    </row>
    <row r="906" spans="1:9" ht="12.75" customHeight="1" x14ac:dyDescent="0.2">
      <c r="A906" s="94" t="s">
        <v>5323</v>
      </c>
      <c r="B906" s="87" t="s">
        <v>435</v>
      </c>
      <c r="C906" s="87" t="s">
        <v>531</v>
      </c>
      <c r="D906" s="88">
        <v>2100</v>
      </c>
      <c r="E906" s="89"/>
      <c r="F906" s="89"/>
      <c r="G906" s="87" t="str">
        <f t="shared" si="14"/>
        <v>213110400'= CONTAS A PAGAR CREDORES NACIONAIS105000026631978612000187</v>
      </c>
      <c r="H906" s="87" t="str">
        <f>VLOOKUP(Tabela1[[#This Row],[CONCATENAR]],'Classificações - Demonstrações'!$A$5:$C$46003,2,)</f>
        <v>Fornecedores</v>
      </c>
      <c r="I906" s="87"/>
    </row>
    <row r="907" spans="1:9" ht="12.75" customHeight="1" x14ac:dyDescent="0.2">
      <c r="A907" s="94" t="s">
        <v>5323</v>
      </c>
      <c r="B907" s="87" t="s">
        <v>435</v>
      </c>
      <c r="C907" s="87" t="s">
        <v>5790</v>
      </c>
      <c r="D907" s="88">
        <v>9546.24</v>
      </c>
      <c r="E907" s="89"/>
      <c r="F907" s="89"/>
      <c r="G907" s="87" t="str">
        <f t="shared" si="14"/>
        <v>213110400'= CONTAS A PAGAR CREDORES NACIONAIS105000026632168761000143</v>
      </c>
      <c r="H907" s="87" t="str">
        <f>VLOOKUP(Tabela1[[#This Row],[CONCATENAR]],'Classificações - Demonstrações'!$A$5:$C$46003,2,)</f>
        <v>Fornecedores</v>
      </c>
      <c r="I907" s="87"/>
    </row>
    <row r="908" spans="1:9" ht="12.75" customHeight="1" x14ac:dyDescent="0.2">
      <c r="A908" s="94" t="s">
        <v>5323</v>
      </c>
      <c r="B908" s="87" t="s">
        <v>435</v>
      </c>
      <c r="C908" s="87" t="s">
        <v>4797</v>
      </c>
      <c r="D908" s="88">
        <v>125687.58</v>
      </c>
      <c r="E908" s="89"/>
      <c r="F908" s="89"/>
      <c r="G908" s="87" t="str">
        <f t="shared" si="14"/>
        <v>213110400'= CONTAS A PAGAR CREDORES NACIONAIS105000026632185480000875</v>
      </c>
      <c r="H908" s="87" t="str">
        <f>VLOOKUP(Tabela1[[#This Row],[CONCATENAR]],'Classificações - Demonstrações'!$A$5:$C$46003,2,)</f>
        <v>Fornecedores</v>
      </c>
      <c r="I908" s="87"/>
    </row>
    <row r="909" spans="1:9" ht="12.75" customHeight="1" x14ac:dyDescent="0.2">
      <c r="A909" s="94" t="s">
        <v>5323</v>
      </c>
      <c r="B909" s="87" t="s">
        <v>435</v>
      </c>
      <c r="C909" s="87" t="s">
        <v>6131</v>
      </c>
      <c r="D909" s="88">
        <v>0</v>
      </c>
      <c r="E909" s="89"/>
      <c r="F909" s="89"/>
      <c r="G909" s="87" t="str">
        <f t="shared" si="14"/>
        <v>213110400'= CONTAS A PAGAR CREDORES NACIONAIS105000026632223836000141</v>
      </c>
      <c r="H909" s="87" t="str">
        <f>VLOOKUP(Tabela1[[#This Row],[CONCATENAR]],'Classificações - Demonstrações'!$A$5:$C$46003,2,)</f>
        <v>Fornecedores</v>
      </c>
      <c r="I909" s="87"/>
    </row>
    <row r="910" spans="1:9" ht="12.75" customHeight="1" x14ac:dyDescent="0.2">
      <c r="A910" s="94" t="s">
        <v>5323</v>
      </c>
      <c r="B910" s="87" t="s">
        <v>435</v>
      </c>
      <c r="C910" s="87" t="s">
        <v>6132</v>
      </c>
      <c r="D910" s="88">
        <v>0</v>
      </c>
      <c r="E910" s="89"/>
      <c r="F910" s="89"/>
      <c r="G910" s="87" t="str">
        <f t="shared" si="14"/>
        <v>213110400'= CONTAS A PAGAR CREDORES NACIONAIS105000026632319258000222</v>
      </c>
      <c r="H910" s="87" t="str">
        <f>VLOOKUP(Tabela1[[#This Row],[CONCATENAR]],'Classificações - Demonstrações'!$A$5:$C$46003,2,)</f>
        <v>Fornecedores</v>
      </c>
      <c r="I910" s="87"/>
    </row>
    <row r="911" spans="1:9" ht="12.75" customHeight="1" x14ac:dyDescent="0.2">
      <c r="A911" s="94" t="s">
        <v>5323</v>
      </c>
      <c r="B911" s="87" t="s">
        <v>435</v>
      </c>
      <c r="C911" s="87" t="s">
        <v>4798</v>
      </c>
      <c r="D911" s="88">
        <v>0</v>
      </c>
      <c r="E911" s="89"/>
      <c r="F911" s="89"/>
      <c r="G911" s="87" t="str">
        <f t="shared" si="14"/>
        <v>213110400'= CONTAS A PAGAR CREDORES NACIONAIS105000026632683520000132</v>
      </c>
      <c r="H911" s="87" t="str">
        <f>VLOOKUP(Tabela1[[#This Row],[CONCATENAR]],'Classificações - Demonstrações'!$A$5:$C$46003,2,)</f>
        <v>Fornecedores</v>
      </c>
      <c r="I911" s="87"/>
    </row>
    <row r="912" spans="1:9" ht="12.75" customHeight="1" x14ac:dyDescent="0.2">
      <c r="A912" s="94" t="s">
        <v>5323</v>
      </c>
      <c r="B912" s="87" t="s">
        <v>435</v>
      </c>
      <c r="C912" s="87" t="s">
        <v>6133</v>
      </c>
      <c r="D912" s="88">
        <v>0</v>
      </c>
      <c r="E912" s="89"/>
      <c r="F912" s="89"/>
      <c r="G912" s="87" t="str">
        <f t="shared" si="14"/>
        <v>213110400'= CONTAS A PAGAR CREDORES NACIONAIS105000026632944113000131</v>
      </c>
      <c r="H912" s="87" t="str">
        <f>VLOOKUP(Tabela1[[#This Row],[CONCATENAR]],'Classificações - Demonstrações'!$A$5:$C$46003,2,)</f>
        <v>Fornecedores</v>
      </c>
      <c r="I912" s="87"/>
    </row>
    <row r="913" spans="1:9" ht="12.75" customHeight="1" x14ac:dyDescent="0.2">
      <c r="A913" s="94" t="s">
        <v>5323</v>
      </c>
      <c r="B913" s="87" t="s">
        <v>435</v>
      </c>
      <c r="C913" s="87" t="s">
        <v>6134</v>
      </c>
      <c r="D913" s="88">
        <v>0</v>
      </c>
      <c r="E913" s="89"/>
      <c r="F913" s="89"/>
      <c r="G913" s="87" t="str">
        <f t="shared" si="14"/>
        <v>213110400'= CONTAS A PAGAR CREDORES NACIONAIS105000026633003194000138</v>
      </c>
      <c r="H913" s="87" t="str">
        <f>VLOOKUP(Tabela1[[#This Row],[CONCATENAR]],'Classificações - Demonstrações'!$A$5:$C$46003,2,)</f>
        <v>Fornecedores</v>
      </c>
      <c r="I913" s="87"/>
    </row>
    <row r="914" spans="1:9" ht="12.75" customHeight="1" x14ac:dyDescent="0.2">
      <c r="A914" s="94" t="s">
        <v>5323</v>
      </c>
      <c r="B914" s="87" t="s">
        <v>435</v>
      </c>
      <c r="C914" s="87" t="s">
        <v>5791</v>
      </c>
      <c r="D914" s="88">
        <v>121934.39999999999</v>
      </c>
      <c r="E914" s="89"/>
      <c r="F914" s="89"/>
      <c r="G914" s="87" t="str">
        <f t="shared" si="14"/>
        <v>213110400'= CONTAS A PAGAR CREDORES NACIONAIS105000026633318780000171</v>
      </c>
      <c r="H914" s="87" t="str">
        <f>VLOOKUP(Tabela1[[#This Row],[CONCATENAR]],'Classificações - Demonstrações'!$A$5:$C$46003,2,)</f>
        <v>Fornecedores</v>
      </c>
      <c r="I914" s="87"/>
    </row>
    <row r="915" spans="1:9" ht="12.75" customHeight="1" x14ac:dyDescent="0.2">
      <c r="A915" s="94" t="s">
        <v>5323</v>
      </c>
      <c r="B915" s="87" t="s">
        <v>435</v>
      </c>
      <c r="C915" s="87" t="s">
        <v>6135</v>
      </c>
      <c r="D915" s="88">
        <v>0</v>
      </c>
      <c r="E915" s="89"/>
      <c r="F915" s="89"/>
      <c r="G915" s="87" t="str">
        <f t="shared" si="14"/>
        <v>213110400'= CONTAS A PAGAR CREDORES NACIONAIS105000026633345683000178</v>
      </c>
      <c r="H915" s="87" t="str">
        <f>VLOOKUP(Tabela1[[#This Row],[CONCATENAR]],'Classificações - Demonstrações'!$A$5:$C$46003,2,)</f>
        <v>Fornecedores</v>
      </c>
      <c r="I915" s="87"/>
    </row>
    <row r="916" spans="1:9" ht="12.75" customHeight="1" x14ac:dyDescent="0.2">
      <c r="A916" s="94" t="s">
        <v>5323</v>
      </c>
      <c r="B916" s="87" t="s">
        <v>435</v>
      </c>
      <c r="C916" s="87" t="s">
        <v>4799</v>
      </c>
      <c r="D916" s="88">
        <v>261.68</v>
      </c>
      <c r="E916" s="89"/>
      <c r="F916" s="89"/>
      <c r="G916" s="87" t="str">
        <f t="shared" si="14"/>
        <v>213110400'= CONTAS A PAGAR CREDORES NACIONAIS105000026634028316000294</v>
      </c>
      <c r="H916" s="87" t="str">
        <f>VLOOKUP(Tabela1[[#This Row],[CONCATENAR]],'Classificações - Demonstrações'!$A$5:$C$46003,2,)</f>
        <v>Fornecedores</v>
      </c>
      <c r="I916" s="87"/>
    </row>
    <row r="917" spans="1:9" ht="12.75" customHeight="1" x14ac:dyDescent="0.2">
      <c r="A917" s="94" t="s">
        <v>5323</v>
      </c>
      <c r="B917" s="87" t="s">
        <v>435</v>
      </c>
      <c r="C917" s="87" t="s">
        <v>6136</v>
      </c>
      <c r="D917" s="88">
        <v>5085.2700000000004</v>
      </c>
      <c r="E917" s="89"/>
      <c r="F917" s="89"/>
      <c r="G917" s="87" t="str">
        <f t="shared" si="14"/>
        <v>213110400'= CONTAS A PAGAR CREDORES NACIONAIS105000026634260596000180</v>
      </c>
      <c r="H917" s="87" t="str">
        <f>VLOOKUP(Tabela1[[#This Row],[CONCATENAR]],'Classificações - Demonstrações'!$A$5:$C$46003,2,)</f>
        <v>Fornecedores</v>
      </c>
      <c r="I917" s="87"/>
    </row>
    <row r="918" spans="1:9" ht="12.75" customHeight="1" x14ac:dyDescent="0.2">
      <c r="A918" s="94" t="s">
        <v>5323</v>
      </c>
      <c r="B918" s="87" t="s">
        <v>435</v>
      </c>
      <c r="C918" s="87" t="s">
        <v>5792</v>
      </c>
      <c r="D918" s="88">
        <v>0</v>
      </c>
      <c r="E918" s="89"/>
      <c r="F918" s="89"/>
      <c r="G918" s="87" t="str">
        <f t="shared" si="14"/>
        <v>213110400'= CONTAS A PAGAR CREDORES NACIONAIS105000026635137403000161</v>
      </c>
      <c r="H918" s="87" t="str">
        <f>VLOOKUP(Tabela1[[#This Row],[CONCATENAR]],'Classificações - Demonstrações'!$A$5:$C$46003,2,)</f>
        <v>Fornecedores</v>
      </c>
      <c r="I918" s="87"/>
    </row>
    <row r="919" spans="1:9" ht="12.75" customHeight="1" x14ac:dyDescent="0.2">
      <c r="A919" s="94" t="s">
        <v>5323</v>
      </c>
      <c r="B919" s="87" t="s">
        <v>435</v>
      </c>
      <c r="C919" s="87" t="s">
        <v>5793</v>
      </c>
      <c r="D919" s="88">
        <v>0</v>
      </c>
      <c r="E919" s="89"/>
      <c r="F919" s="89"/>
      <c r="G919" s="87" t="str">
        <f t="shared" si="14"/>
        <v>213110400'= CONTAS A PAGAR CREDORES NACIONAIS105000026636241685000105</v>
      </c>
      <c r="H919" s="87" t="str">
        <f>VLOOKUP(Tabela1[[#This Row],[CONCATENAR]],'Classificações - Demonstrações'!$A$5:$C$46003,2,)</f>
        <v>Fornecedores</v>
      </c>
      <c r="I919" s="87"/>
    </row>
    <row r="920" spans="1:9" ht="12.75" customHeight="1" x14ac:dyDescent="0.2">
      <c r="A920" s="94" t="s">
        <v>5323</v>
      </c>
      <c r="B920" s="87" t="s">
        <v>435</v>
      </c>
      <c r="C920" s="87" t="s">
        <v>6137</v>
      </c>
      <c r="D920" s="88">
        <v>0</v>
      </c>
      <c r="E920" s="89"/>
      <c r="F920" s="89"/>
      <c r="G920" s="87" t="str">
        <f t="shared" si="14"/>
        <v>213110400'= CONTAS A PAGAR CREDORES NACIONAIS105000026636462671000111</v>
      </c>
      <c r="H920" s="87" t="str">
        <f>VLOOKUP(Tabela1[[#This Row],[CONCATENAR]],'Classificações - Demonstrações'!$A$5:$C$46003,2,)</f>
        <v>Fornecedores</v>
      </c>
      <c r="I920" s="87"/>
    </row>
    <row r="921" spans="1:9" ht="12.75" customHeight="1" x14ac:dyDescent="0.2">
      <c r="A921" s="94" t="s">
        <v>5323</v>
      </c>
      <c r="B921" s="87" t="s">
        <v>435</v>
      </c>
      <c r="C921" s="87" t="s">
        <v>532</v>
      </c>
      <c r="D921" s="88">
        <v>23641.21</v>
      </c>
      <c r="E921" s="89"/>
      <c r="F921" s="89"/>
      <c r="G921" s="87" t="str">
        <f t="shared" si="14"/>
        <v>213110400'= CONTAS A PAGAR CREDORES NACIONAIS105000026638503861000165</v>
      </c>
      <c r="H921" s="87" t="str">
        <f>VLOOKUP(Tabela1[[#This Row],[CONCATENAR]],'Classificações - Demonstrações'!$A$5:$C$46003,2,)</f>
        <v>Fornecedores</v>
      </c>
      <c r="I921" s="87"/>
    </row>
    <row r="922" spans="1:9" ht="12.75" customHeight="1" x14ac:dyDescent="0.2">
      <c r="A922" s="94" t="s">
        <v>5323</v>
      </c>
      <c r="B922" s="87" t="s">
        <v>435</v>
      </c>
      <c r="C922" s="87" t="s">
        <v>6138</v>
      </c>
      <c r="D922" s="88">
        <v>0</v>
      </c>
      <c r="E922" s="89"/>
      <c r="F922" s="89"/>
      <c r="G922" s="87" t="str">
        <f t="shared" si="14"/>
        <v>213110400'= CONTAS A PAGAR CREDORES NACIONAIS105000026639685747000166</v>
      </c>
      <c r="H922" s="87" t="str">
        <f>VLOOKUP(Tabela1[[#This Row],[CONCATENAR]],'Classificações - Demonstrações'!$A$5:$C$46003,2,)</f>
        <v>Fornecedores</v>
      </c>
      <c r="I922" s="87"/>
    </row>
    <row r="923" spans="1:9" ht="12.75" customHeight="1" x14ac:dyDescent="0.2">
      <c r="A923" s="94" t="s">
        <v>5323</v>
      </c>
      <c r="B923" s="87" t="s">
        <v>435</v>
      </c>
      <c r="C923" s="87" t="s">
        <v>5147</v>
      </c>
      <c r="D923" s="88">
        <v>0</v>
      </c>
      <c r="E923" s="89"/>
      <c r="F923" s="89"/>
      <c r="G923" s="87" t="str">
        <f t="shared" si="14"/>
        <v>213110400'= CONTAS A PAGAR CREDORES NACIONAIS105000026640178030000107</v>
      </c>
      <c r="H923" s="87" t="str">
        <f>VLOOKUP(Tabela1[[#This Row],[CONCATENAR]],'Classificações - Demonstrações'!$A$5:$C$46003,2,)</f>
        <v>Fornecedores</v>
      </c>
      <c r="I923" s="87"/>
    </row>
    <row r="924" spans="1:9" ht="12.75" customHeight="1" x14ac:dyDescent="0.2">
      <c r="A924" s="94" t="s">
        <v>5323</v>
      </c>
      <c r="B924" s="87" t="s">
        <v>435</v>
      </c>
      <c r="C924" s="87" t="s">
        <v>6139</v>
      </c>
      <c r="D924" s="88">
        <v>0</v>
      </c>
      <c r="E924" s="89"/>
      <c r="F924" s="89"/>
      <c r="G924" s="87" t="str">
        <f t="shared" si="14"/>
        <v>213110400'= CONTAS A PAGAR CREDORES NACIONAIS105000026641337201000166</v>
      </c>
      <c r="H924" s="87" t="str">
        <f>VLOOKUP(Tabela1[[#This Row],[CONCATENAR]],'Classificações - Demonstrações'!$A$5:$C$46003,2,)</f>
        <v>Fornecedores</v>
      </c>
      <c r="I924" s="87"/>
    </row>
    <row r="925" spans="1:9" ht="12.75" customHeight="1" x14ac:dyDescent="0.2">
      <c r="A925" s="94" t="s">
        <v>5323</v>
      </c>
      <c r="B925" s="87" t="s">
        <v>435</v>
      </c>
      <c r="C925" s="87" t="s">
        <v>5794</v>
      </c>
      <c r="D925" s="88">
        <v>0</v>
      </c>
      <c r="E925" s="89"/>
      <c r="F925" s="89"/>
      <c r="G925" s="87" t="str">
        <f t="shared" si="14"/>
        <v>213110400'= CONTAS A PAGAR CREDORES NACIONAIS105000026642270058000103</v>
      </c>
      <c r="H925" s="87" t="str">
        <f>VLOOKUP(Tabela1[[#This Row],[CONCATENAR]],'Classificações - Demonstrações'!$A$5:$C$46003,2,)</f>
        <v>Fornecedores</v>
      </c>
      <c r="I925" s="87"/>
    </row>
    <row r="926" spans="1:9" ht="12.75" customHeight="1" x14ac:dyDescent="0.2">
      <c r="A926" s="94" t="s">
        <v>5323</v>
      </c>
      <c r="B926" s="87" t="s">
        <v>435</v>
      </c>
      <c r="C926" s="87" t="s">
        <v>6140</v>
      </c>
      <c r="D926" s="88">
        <v>0</v>
      </c>
      <c r="E926" s="89"/>
      <c r="F926" s="89"/>
      <c r="G926" s="87" t="str">
        <f t="shared" si="14"/>
        <v>213110400'= CONTAS A PAGAR CREDORES NACIONAIS105000026643093948000141</v>
      </c>
      <c r="H926" s="87" t="str">
        <f>VLOOKUP(Tabela1[[#This Row],[CONCATENAR]],'Classificações - Demonstrações'!$A$5:$C$46003,2,)</f>
        <v>Fornecedores</v>
      </c>
      <c r="I926" s="87"/>
    </row>
    <row r="927" spans="1:9" ht="12.75" customHeight="1" x14ac:dyDescent="0.2">
      <c r="A927" s="94" t="s">
        <v>5323</v>
      </c>
      <c r="B927" s="87" t="s">
        <v>435</v>
      </c>
      <c r="C927" s="87" t="s">
        <v>533</v>
      </c>
      <c r="D927" s="88">
        <v>47082.8</v>
      </c>
      <c r="E927" s="89"/>
      <c r="F927" s="89"/>
      <c r="G927" s="87" t="str">
        <f t="shared" si="14"/>
        <v>213110400'= CONTAS A PAGAR CREDORES NACIONAIS105000026644386134000168</v>
      </c>
      <c r="H927" s="87" t="str">
        <f>VLOOKUP(Tabela1[[#This Row],[CONCATENAR]],'Classificações - Demonstrações'!$A$5:$C$46003,2,)</f>
        <v>Fornecedores</v>
      </c>
      <c r="I927" s="87"/>
    </row>
    <row r="928" spans="1:9" ht="12.75" customHeight="1" x14ac:dyDescent="0.2">
      <c r="A928" s="94" t="s">
        <v>5323</v>
      </c>
      <c r="B928" s="87" t="s">
        <v>435</v>
      </c>
      <c r="C928" s="87" t="s">
        <v>5795</v>
      </c>
      <c r="D928" s="88">
        <v>0</v>
      </c>
      <c r="E928" s="89"/>
      <c r="F928" s="89"/>
      <c r="G928" s="87" t="str">
        <f t="shared" si="14"/>
        <v>213110400'= CONTAS A PAGAR CREDORES NACIONAIS105000026644417768000130</v>
      </c>
      <c r="H928" s="87" t="str">
        <f>VLOOKUP(Tabela1[[#This Row],[CONCATENAR]],'Classificações - Demonstrações'!$A$5:$C$46003,2,)</f>
        <v>Fornecedores</v>
      </c>
      <c r="I928" s="87"/>
    </row>
    <row r="929" spans="1:9" ht="12.75" customHeight="1" x14ac:dyDescent="0.2">
      <c r="A929" s="94" t="s">
        <v>5323</v>
      </c>
      <c r="B929" s="87" t="s">
        <v>435</v>
      </c>
      <c r="C929" s="87" t="s">
        <v>5796</v>
      </c>
      <c r="D929" s="88">
        <v>0</v>
      </c>
      <c r="E929" s="89"/>
      <c r="F929" s="89"/>
      <c r="G929" s="87" t="str">
        <f t="shared" si="14"/>
        <v>213110400'= CONTAS A PAGAR CREDORES NACIONAIS105000026645769285000168</v>
      </c>
      <c r="H929" s="87" t="str">
        <f>VLOOKUP(Tabela1[[#This Row],[CONCATENAR]],'Classificações - Demonstrações'!$A$5:$C$46003,2,)</f>
        <v>Fornecedores</v>
      </c>
      <c r="I929" s="87"/>
    </row>
    <row r="930" spans="1:9" ht="12.75" customHeight="1" x14ac:dyDescent="0.2">
      <c r="A930" s="94" t="s">
        <v>5323</v>
      </c>
      <c r="B930" s="87" t="s">
        <v>435</v>
      </c>
      <c r="C930" s="87" t="s">
        <v>6141</v>
      </c>
      <c r="D930" s="88">
        <v>34367</v>
      </c>
      <c r="E930" s="89"/>
      <c r="F930" s="89"/>
      <c r="G930" s="87" t="str">
        <f t="shared" si="14"/>
        <v>213110400'= CONTAS A PAGAR CREDORES NACIONAIS105000026645872579000110</v>
      </c>
      <c r="H930" s="87" t="str">
        <f>VLOOKUP(Tabela1[[#This Row],[CONCATENAR]],'Classificações - Demonstrações'!$A$5:$C$46003,2,)</f>
        <v>Fornecedores</v>
      </c>
      <c r="I930" s="87"/>
    </row>
    <row r="931" spans="1:9" ht="12.75" customHeight="1" x14ac:dyDescent="0.2">
      <c r="A931" s="94" t="s">
        <v>5323</v>
      </c>
      <c r="B931" s="87" t="s">
        <v>435</v>
      </c>
      <c r="C931" s="87" t="s">
        <v>534</v>
      </c>
      <c r="D931" s="88">
        <v>0</v>
      </c>
      <c r="E931" s="89"/>
      <c r="F931" s="89"/>
      <c r="G931" s="87" t="str">
        <f t="shared" si="14"/>
        <v>213110400'= CONTAS A PAGAR CREDORES NACIONAIS105000026646390209000100</v>
      </c>
      <c r="H931" s="87" t="str">
        <f>VLOOKUP(Tabela1[[#This Row],[CONCATENAR]],'Classificações - Demonstrações'!$A$5:$C$46003,2,)</f>
        <v>Fornecedores</v>
      </c>
      <c r="I931" s="87"/>
    </row>
    <row r="932" spans="1:9" ht="12.75" customHeight="1" x14ac:dyDescent="0.2">
      <c r="A932" s="94" t="s">
        <v>5323</v>
      </c>
      <c r="B932" s="87" t="s">
        <v>435</v>
      </c>
      <c r="C932" s="87" t="s">
        <v>6142</v>
      </c>
      <c r="D932" s="88">
        <v>0</v>
      </c>
      <c r="E932" s="89"/>
      <c r="F932" s="89"/>
      <c r="G932" s="87" t="str">
        <f t="shared" si="14"/>
        <v>213110400'= CONTAS A PAGAR CREDORES NACIONAIS105000026650892934000153</v>
      </c>
      <c r="H932" s="87" t="str">
        <f>VLOOKUP(Tabela1[[#This Row],[CONCATENAR]],'Classificações - Demonstrações'!$A$5:$C$46003,2,)</f>
        <v>Fornecedores</v>
      </c>
      <c r="I932" s="87"/>
    </row>
    <row r="933" spans="1:9" ht="12.75" customHeight="1" x14ac:dyDescent="0.2">
      <c r="A933" s="94" t="s">
        <v>5323</v>
      </c>
      <c r="B933" s="87" t="s">
        <v>435</v>
      </c>
      <c r="C933" s="87" t="s">
        <v>535</v>
      </c>
      <c r="D933" s="88">
        <v>14870</v>
      </c>
      <c r="E933" s="89"/>
      <c r="F933" s="89"/>
      <c r="G933" s="87" t="str">
        <f t="shared" si="14"/>
        <v>213110400'= CONTAS A PAGAR CREDORES NACIONAIS105000026652640646000137</v>
      </c>
      <c r="H933" s="87" t="str">
        <f>VLOOKUP(Tabela1[[#This Row],[CONCATENAR]],'Classificações - Demonstrações'!$A$5:$C$46003,2,)</f>
        <v>Fornecedores</v>
      </c>
      <c r="I933" s="87"/>
    </row>
    <row r="934" spans="1:9" ht="12.75" customHeight="1" x14ac:dyDescent="0.2">
      <c r="A934" s="94" t="s">
        <v>5323</v>
      </c>
      <c r="B934" s="87" t="s">
        <v>435</v>
      </c>
      <c r="C934" s="87" t="s">
        <v>6143</v>
      </c>
      <c r="D934" s="88">
        <v>0</v>
      </c>
      <c r="E934" s="89"/>
      <c r="F934" s="89"/>
      <c r="G934" s="87" t="str">
        <f t="shared" si="14"/>
        <v>213110400'= CONTAS A PAGAR CREDORES NACIONAIS105000026654550030000109</v>
      </c>
      <c r="H934" s="87" t="str">
        <f>VLOOKUP(Tabela1[[#This Row],[CONCATENAR]],'Classificações - Demonstrações'!$A$5:$C$46003,2,)</f>
        <v>Fornecedores</v>
      </c>
      <c r="I934" s="87"/>
    </row>
    <row r="935" spans="1:9" ht="12.75" customHeight="1" x14ac:dyDescent="0.2">
      <c r="A935" s="94" t="s">
        <v>5323</v>
      </c>
      <c r="B935" s="87" t="s">
        <v>435</v>
      </c>
      <c r="C935" s="87" t="s">
        <v>536</v>
      </c>
      <c r="D935" s="88">
        <v>0</v>
      </c>
      <c r="E935" s="89"/>
      <c r="F935" s="89"/>
      <c r="G935" s="87" t="str">
        <f t="shared" si="14"/>
        <v>213110400'= CONTAS A PAGAR CREDORES NACIONAIS105000026655616429000108</v>
      </c>
      <c r="H935" s="87" t="str">
        <f>VLOOKUP(Tabela1[[#This Row],[CONCATENAR]],'Classificações - Demonstrações'!$A$5:$C$46003,2,)</f>
        <v>Fornecedores</v>
      </c>
      <c r="I935" s="87"/>
    </row>
    <row r="936" spans="1:9" ht="12.75" customHeight="1" x14ac:dyDescent="0.2">
      <c r="A936" s="94" t="s">
        <v>5323</v>
      </c>
      <c r="B936" s="87" t="s">
        <v>435</v>
      </c>
      <c r="C936" s="87" t="s">
        <v>5797</v>
      </c>
      <c r="D936" s="88">
        <v>0</v>
      </c>
      <c r="E936" s="89"/>
      <c r="F936" s="89"/>
      <c r="G936" s="87" t="str">
        <f t="shared" si="14"/>
        <v>213110400'= CONTAS A PAGAR CREDORES NACIONAIS105000026657055352000161</v>
      </c>
      <c r="H936" s="87" t="str">
        <f>VLOOKUP(Tabela1[[#This Row],[CONCATENAR]],'Classificações - Demonstrações'!$A$5:$C$46003,2,)</f>
        <v>Fornecedores</v>
      </c>
      <c r="I936" s="87"/>
    </row>
    <row r="937" spans="1:9" ht="12.75" customHeight="1" x14ac:dyDescent="0.2">
      <c r="A937" s="94" t="s">
        <v>5323</v>
      </c>
      <c r="B937" s="87" t="s">
        <v>435</v>
      </c>
      <c r="C937" s="87" t="s">
        <v>537</v>
      </c>
      <c r="D937" s="88">
        <v>2722</v>
      </c>
      <c r="E937" s="89"/>
      <c r="F937" s="89"/>
      <c r="G937" s="87" t="str">
        <f t="shared" si="14"/>
        <v>213110400'= CONTAS A PAGAR CREDORES NACIONAIS105000026659618207000177</v>
      </c>
      <c r="H937" s="87" t="str">
        <f>VLOOKUP(Tabela1[[#This Row],[CONCATENAR]],'Classificações - Demonstrações'!$A$5:$C$46003,2,)</f>
        <v>Fornecedores</v>
      </c>
      <c r="I937" s="87"/>
    </row>
    <row r="938" spans="1:9" ht="12.75" customHeight="1" x14ac:dyDescent="0.2">
      <c r="A938" s="94" t="s">
        <v>5323</v>
      </c>
      <c r="B938" s="87" t="s">
        <v>435</v>
      </c>
      <c r="C938" s="87" t="s">
        <v>6144</v>
      </c>
      <c r="D938" s="88">
        <v>0</v>
      </c>
      <c r="E938" s="89"/>
      <c r="F938" s="89"/>
      <c r="G938" s="87" t="str">
        <f t="shared" si="14"/>
        <v>213110400'= CONTAS A PAGAR CREDORES NACIONAIS105000026659750141000174</v>
      </c>
      <c r="H938" s="87" t="str">
        <f>VLOOKUP(Tabela1[[#This Row],[CONCATENAR]],'Classificações - Demonstrações'!$A$5:$C$46003,2,)</f>
        <v>Fornecedores</v>
      </c>
      <c r="I938" s="87"/>
    </row>
    <row r="939" spans="1:9" ht="12.75" customHeight="1" x14ac:dyDescent="0.2">
      <c r="A939" s="94" t="s">
        <v>5323</v>
      </c>
      <c r="B939" s="87" t="s">
        <v>435</v>
      </c>
      <c r="C939" s="87" t="s">
        <v>538</v>
      </c>
      <c r="D939" s="88">
        <v>0</v>
      </c>
      <c r="E939" s="89"/>
      <c r="F939" s="89"/>
      <c r="G939" s="87" t="str">
        <f t="shared" si="14"/>
        <v>213110400'= CONTAS A PAGAR CREDORES NACIONAIS105000026660444437000146</v>
      </c>
      <c r="H939" s="87" t="str">
        <f>VLOOKUP(Tabela1[[#This Row],[CONCATENAR]],'Classificações - Demonstrações'!$A$5:$C$46003,2,)</f>
        <v>Fornecedores</v>
      </c>
      <c r="I939" s="87"/>
    </row>
    <row r="940" spans="1:9" ht="12.75" customHeight="1" x14ac:dyDescent="0.2">
      <c r="A940" s="94" t="s">
        <v>5323</v>
      </c>
      <c r="B940" s="87" t="s">
        <v>435</v>
      </c>
      <c r="C940" s="87" t="s">
        <v>539</v>
      </c>
      <c r="D940" s="88">
        <v>857.97</v>
      </c>
      <c r="E940" s="89"/>
      <c r="F940" s="89"/>
      <c r="G940" s="87" t="str">
        <f t="shared" si="14"/>
        <v>213110400'= CONTAS A PAGAR CREDORES NACIONAIS105000026660452752000115</v>
      </c>
      <c r="H940" s="87" t="str">
        <f>VLOOKUP(Tabela1[[#This Row],[CONCATENAR]],'Classificações - Demonstrações'!$A$5:$C$46003,2,)</f>
        <v>Fornecedores</v>
      </c>
      <c r="I940" s="87"/>
    </row>
    <row r="941" spans="1:9" ht="12.75" customHeight="1" x14ac:dyDescent="0.2">
      <c r="A941" s="94" t="s">
        <v>5323</v>
      </c>
      <c r="B941" s="87" t="s">
        <v>435</v>
      </c>
      <c r="C941" s="87" t="s">
        <v>6145</v>
      </c>
      <c r="D941" s="88">
        <v>0</v>
      </c>
      <c r="E941" s="89"/>
      <c r="F941" s="89"/>
      <c r="G941" s="87" t="str">
        <f t="shared" si="14"/>
        <v>213110400'= CONTAS A PAGAR CREDORES NACIONAIS105000026660613478000119</v>
      </c>
      <c r="H941" s="87" t="str">
        <f>VLOOKUP(Tabela1[[#This Row],[CONCATENAR]],'Classificações - Demonstrações'!$A$5:$C$46003,2,)</f>
        <v>Fornecedores</v>
      </c>
      <c r="I941" s="87"/>
    </row>
    <row r="942" spans="1:9" ht="12.75" customHeight="1" x14ac:dyDescent="0.2">
      <c r="A942" s="94" t="s">
        <v>5323</v>
      </c>
      <c r="B942" s="87" t="s">
        <v>435</v>
      </c>
      <c r="C942" s="87" t="s">
        <v>6146</v>
      </c>
      <c r="D942" s="88">
        <v>300.86</v>
      </c>
      <c r="E942" s="89"/>
      <c r="F942" s="89"/>
      <c r="G942" s="87" t="str">
        <f t="shared" si="14"/>
        <v>213110400'= CONTAS A PAGAR CREDORES NACIONAIS105000026660985017000177</v>
      </c>
      <c r="H942" s="87" t="str">
        <f>VLOOKUP(Tabela1[[#This Row],[CONCATENAR]],'Classificações - Demonstrações'!$A$5:$C$46003,2,)</f>
        <v>Fornecedores</v>
      </c>
      <c r="I942" s="87"/>
    </row>
    <row r="943" spans="1:9" ht="12.75" customHeight="1" x14ac:dyDescent="0.2">
      <c r="A943" s="94" t="s">
        <v>5323</v>
      </c>
      <c r="B943" s="87" t="s">
        <v>435</v>
      </c>
      <c r="C943" s="87" t="s">
        <v>540</v>
      </c>
      <c r="D943" s="88">
        <v>920</v>
      </c>
      <c r="E943" s="89"/>
      <c r="F943" s="89"/>
      <c r="G943" s="87" t="str">
        <f t="shared" si="14"/>
        <v>213110400'= CONTAS A PAGAR CREDORES NACIONAIS105000026661793691000112</v>
      </c>
      <c r="H943" s="87" t="str">
        <f>VLOOKUP(Tabela1[[#This Row],[CONCATENAR]],'Classificações - Demonstrações'!$A$5:$C$46003,2,)</f>
        <v>Fornecedores</v>
      </c>
      <c r="I943" s="87"/>
    </row>
    <row r="944" spans="1:9" ht="12.75" customHeight="1" x14ac:dyDescent="0.2">
      <c r="A944" s="94" t="s">
        <v>5323</v>
      </c>
      <c r="B944" s="87" t="s">
        <v>435</v>
      </c>
      <c r="C944" s="87" t="s">
        <v>541</v>
      </c>
      <c r="D944" s="88">
        <v>286332.61</v>
      </c>
      <c r="E944" s="89"/>
      <c r="F944" s="89"/>
      <c r="G944" s="87" t="str">
        <f t="shared" si="14"/>
        <v>213110400'= CONTAS A PAGAR CREDORES NACIONAIS105000026662458088002867</v>
      </c>
      <c r="H944" s="87" t="str">
        <f>VLOOKUP(Tabela1[[#This Row],[CONCATENAR]],'Classificações - Demonstrações'!$A$5:$C$46003,2,)</f>
        <v>Fornecedores</v>
      </c>
      <c r="I944" s="87"/>
    </row>
    <row r="945" spans="1:9" ht="12.75" customHeight="1" x14ac:dyDescent="0.2">
      <c r="A945" s="94" t="s">
        <v>5323</v>
      </c>
      <c r="B945" s="87" t="s">
        <v>435</v>
      </c>
      <c r="C945" s="87" t="s">
        <v>542</v>
      </c>
      <c r="D945" s="88">
        <v>284.63</v>
      </c>
      <c r="E945" s="89"/>
      <c r="F945" s="89"/>
      <c r="G945" s="87" t="str">
        <f t="shared" si="14"/>
        <v>213110400'= CONTAS A PAGAR CREDORES NACIONAIS105000026662877808000109</v>
      </c>
      <c r="H945" s="87" t="str">
        <f>VLOOKUP(Tabela1[[#This Row],[CONCATENAR]],'Classificações - Demonstrações'!$A$5:$C$46003,2,)</f>
        <v>Fornecedores</v>
      </c>
      <c r="I945" s="87"/>
    </row>
    <row r="946" spans="1:9" ht="12.75" customHeight="1" x14ac:dyDescent="0.2">
      <c r="A946" s="94" t="s">
        <v>5323</v>
      </c>
      <c r="B946" s="87" t="s">
        <v>435</v>
      </c>
      <c r="C946" s="87" t="s">
        <v>6147</v>
      </c>
      <c r="D946" s="88">
        <v>0</v>
      </c>
      <c r="E946" s="89"/>
      <c r="F946" s="89"/>
      <c r="G946" s="87" t="str">
        <f t="shared" si="14"/>
        <v>213110400'= CONTAS A PAGAR CREDORES NACIONAIS105000026665789117000141</v>
      </c>
      <c r="H946" s="87" t="str">
        <f>VLOOKUP(Tabela1[[#This Row],[CONCATENAR]],'Classificações - Demonstrações'!$A$5:$C$46003,2,)</f>
        <v>Fornecedores</v>
      </c>
      <c r="I946" s="87"/>
    </row>
    <row r="947" spans="1:9" ht="12.75" customHeight="1" x14ac:dyDescent="0.2">
      <c r="A947" s="94" t="s">
        <v>5323</v>
      </c>
      <c r="B947" s="87" t="s">
        <v>435</v>
      </c>
      <c r="C947" s="87" t="s">
        <v>543</v>
      </c>
      <c r="D947" s="88">
        <v>0</v>
      </c>
      <c r="E947" s="89"/>
      <c r="F947" s="89"/>
      <c r="G947" s="87" t="str">
        <f t="shared" si="14"/>
        <v>213110400'= CONTAS A PAGAR CREDORES NACIONAIS105000026666018441000129</v>
      </c>
      <c r="H947" s="87" t="str">
        <f>VLOOKUP(Tabela1[[#This Row],[CONCATENAR]],'Classificações - Demonstrações'!$A$5:$C$46003,2,)</f>
        <v>Fornecedores</v>
      </c>
      <c r="I947" s="87"/>
    </row>
    <row r="948" spans="1:9" ht="12.75" customHeight="1" x14ac:dyDescent="0.2">
      <c r="A948" s="94" t="s">
        <v>5323</v>
      </c>
      <c r="B948" s="87" t="s">
        <v>435</v>
      </c>
      <c r="C948" s="87" t="s">
        <v>5798</v>
      </c>
      <c r="D948" s="88">
        <v>0</v>
      </c>
      <c r="E948" s="89"/>
      <c r="F948" s="89"/>
      <c r="G948" s="87" t="str">
        <f t="shared" si="14"/>
        <v>213110400'= CONTAS A PAGAR CREDORES NACIONAIS105000026667423152000178</v>
      </c>
      <c r="H948" s="87" t="str">
        <f>VLOOKUP(Tabela1[[#This Row],[CONCATENAR]],'Classificações - Demonstrações'!$A$5:$C$46003,2,)</f>
        <v>Fornecedores</v>
      </c>
      <c r="I948" s="87"/>
    </row>
    <row r="949" spans="1:9" ht="12.75" customHeight="1" x14ac:dyDescent="0.2">
      <c r="A949" s="94" t="s">
        <v>5323</v>
      </c>
      <c r="B949" s="87" t="s">
        <v>435</v>
      </c>
      <c r="C949" s="87" t="s">
        <v>544</v>
      </c>
      <c r="D949" s="88">
        <v>18858.849999999999</v>
      </c>
      <c r="E949" s="89"/>
      <c r="F949" s="89"/>
      <c r="G949" s="87" t="str">
        <f t="shared" si="14"/>
        <v>213110400'= CONTAS A PAGAR CREDORES NACIONAIS105000026669275337000108</v>
      </c>
      <c r="H949" s="87" t="str">
        <f>VLOOKUP(Tabela1[[#This Row],[CONCATENAR]],'Classificações - Demonstrações'!$A$5:$C$46003,2,)</f>
        <v>Fornecedores</v>
      </c>
      <c r="I949" s="87"/>
    </row>
    <row r="950" spans="1:9" ht="12.75" customHeight="1" x14ac:dyDescent="0.2">
      <c r="A950" s="94" t="s">
        <v>5323</v>
      </c>
      <c r="B950" s="87" t="s">
        <v>435</v>
      </c>
      <c r="C950" s="87" t="s">
        <v>6148</v>
      </c>
      <c r="D950" s="88">
        <v>0</v>
      </c>
      <c r="E950" s="89"/>
      <c r="F950" s="89"/>
      <c r="G950" s="87" t="str">
        <f t="shared" si="14"/>
        <v>213110400'= CONTAS A PAGAR CREDORES NACIONAIS105000026677024644000225</v>
      </c>
      <c r="H950" s="87" t="str">
        <f>VLOOKUP(Tabela1[[#This Row],[CONCATENAR]],'Classificações - Demonstrações'!$A$5:$C$46003,2,)</f>
        <v>Fornecedores</v>
      </c>
      <c r="I950" s="87"/>
    </row>
    <row r="951" spans="1:9" ht="12.75" customHeight="1" x14ac:dyDescent="0.2">
      <c r="A951" s="94" t="s">
        <v>5323</v>
      </c>
      <c r="B951" s="87" t="s">
        <v>435</v>
      </c>
      <c r="C951" s="87" t="s">
        <v>6149</v>
      </c>
      <c r="D951" s="88">
        <v>0</v>
      </c>
      <c r="E951" s="89"/>
      <c r="F951" s="89"/>
      <c r="G951" s="87" t="str">
        <f t="shared" si="14"/>
        <v>213110400'= CONTAS A PAGAR CREDORES NACIONAIS105000026692863505000106</v>
      </c>
      <c r="H951" s="87" t="str">
        <f>VLOOKUP(Tabela1[[#This Row],[CONCATENAR]],'Classificações - Demonstrações'!$A$5:$C$46003,2,)</f>
        <v>Fornecedores</v>
      </c>
      <c r="I951" s="87"/>
    </row>
    <row r="952" spans="1:9" ht="12.75" customHeight="1" x14ac:dyDescent="0.2">
      <c r="A952" s="94" t="s">
        <v>5323</v>
      </c>
      <c r="B952" s="87" t="s">
        <v>435</v>
      </c>
      <c r="C952" s="87" t="s">
        <v>6150</v>
      </c>
      <c r="D952" s="88">
        <v>0</v>
      </c>
      <c r="E952" s="89"/>
      <c r="F952" s="89"/>
      <c r="G952" s="87" t="str">
        <f t="shared" si="14"/>
        <v>213110400'= CONTAS A PAGAR CREDORES NACIONAIS105000026696513486000483</v>
      </c>
      <c r="H952" s="87" t="str">
        <f>VLOOKUP(Tabela1[[#This Row],[CONCATENAR]],'Classificações - Demonstrações'!$A$5:$C$46003,2,)</f>
        <v>Fornecedores</v>
      </c>
      <c r="I952" s="87"/>
    </row>
    <row r="953" spans="1:9" ht="12.75" customHeight="1" x14ac:dyDescent="0.2">
      <c r="A953" s="94" t="s">
        <v>5323</v>
      </c>
      <c r="B953" s="87" t="s">
        <v>435</v>
      </c>
      <c r="C953" s="87" t="s">
        <v>6151</v>
      </c>
      <c r="D953" s="88">
        <v>0</v>
      </c>
      <c r="E953" s="89"/>
      <c r="F953" s="89"/>
      <c r="G953" s="87" t="str">
        <f t="shared" si="14"/>
        <v>213110400'= CONTAS A PAGAR CREDORES NACIONAIS1050000266PF9999923</v>
      </c>
      <c r="H953" s="87" t="str">
        <f>VLOOKUP(Tabela1[[#This Row],[CONCATENAR]],'Classificações - Demonstrações'!$A$5:$C$46003,2,)</f>
        <v>Fornecedores</v>
      </c>
      <c r="I953" s="87"/>
    </row>
    <row r="954" spans="1:9" ht="12.75" customHeight="1" x14ac:dyDescent="0.2">
      <c r="A954" s="94" t="s">
        <v>5323</v>
      </c>
      <c r="B954" s="87" t="s">
        <v>435</v>
      </c>
      <c r="C954" s="87" t="s">
        <v>6152</v>
      </c>
      <c r="D954" s="88">
        <v>0</v>
      </c>
      <c r="E954" s="89"/>
      <c r="F954" s="89"/>
      <c r="G954" s="87" t="str">
        <f t="shared" si="14"/>
        <v>213110400'= CONTAS A PAGAR CREDORES NACIONAIS10656610000100</v>
      </c>
      <c r="H954" s="87" t="str">
        <f>VLOOKUP(Tabela1[[#This Row],[CONCATENAR]],'Classificações - Demonstrações'!$A$5:$C$46003,2,)</f>
        <v>Fornecedores</v>
      </c>
      <c r="I954" s="87"/>
    </row>
    <row r="955" spans="1:9" ht="12.75" customHeight="1" x14ac:dyDescent="0.2">
      <c r="A955" s="94" t="s">
        <v>5323</v>
      </c>
      <c r="B955" s="87" t="s">
        <v>435</v>
      </c>
      <c r="C955" s="87" t="s">
        <v>5675</v>
      </c>
      <c r="D955" s="88">
        <v>227259.78</v>
      </c>
      <c r="E955" s="89"/>
      <c r="F955" s="89"/>
      <c r="G955" s="87" t="str">
        <f t="shared" si="14"/>
        <v>213110400'= CONTAS A PAGAR CREDORES NACIONAIS10733675000101</v>
      </c>
      <c r="H955" s="87" t="str">
        <f>VLOOKUP(Tabela1[[#This Row],[CONCATENAR]],'Classificações - Demonstrações'!$A$5:$C$46003,2,)</f>
        <v>Fornecedores</v>
      </c>
      <c r="I955" s="87"/>
    </row>
    <row r="956" spans="1:9" ht="12.75" customHeight="1" x14ac:dyDescent="0.2">
      <c r="A956" s="94" t="s">
        <v>5323</v>
      </c>
      <c r="B956" s="87" t="s">
        <v>435</v>
      </c>
      <c r="C956" s="87" t="s">
        <v>6153</v>
      </c>
      <c r="D956" s="88">
        <v>38083.5</v>
      </c>
      <c r="E956" s="89"/>
      <c r="F956" s="89"/>
      <c r="G956" s="87" t="str">
        <f t="shared" si="14"/>
        <v>213110400'= CONTAS A PAGAR CREDORES NACIONAIS10796406000186</v>
      </c>
      <c r="H956" s="87" t="str">
        <f>VLOOKUP(Tabela1[[#This Row],[CONCATENAR]],'Classificações - Demonstrações'!$A$5:$C$46003,2,)</f>
        <v>Fornecedores</v>
      </c>
      <c r="I956" s="87"/>
    </row>
    <row r="957" spans="1:9" ht="12.75" customHeight="1" x14ac:dyDescent="0.2">
      <c r="A957" s="94" t="s">
        <v>5323</v>
      </c>
      <c r="B957" s="87" t="s">
        <v>435</v>
      </c>
      <c r="C957" s="87" t="s">
        <v>6154</v>
      </c>
      <c r="D957" s="88">
        <v>15021</v>
      </c>
      <c r="E957" s="89"/>
      <c r="F957" s="89"/>
      <c r="G957" s="87" t="str">
        <f t="shared" si="14"/>
        <v>213110400'= CONTAS A PAGAR CREDORES NACIONAIS10869961000190</v>
      </c>
      <c r="H957" s="87" t="str">
        <f>VLOOKUP(Tabela1[[#This Row],[CONCATENAR]],'Classificações - Demonstrações'!$A$5:$C$46003,2,)</f>
        <v>Fornecedores</v>
      </c>
      <c r="I957" s="87"/>
    </row>
    <row r="958" spans="1:9" ht="12.75" customHeight="1" x14ac:dyDescent="0.2">
      <c r="A958" s="94" t="s">
        <v>5323</v>
      </c>
      <c r="B958" s="87" t="s">
        <v>435</v>
      </c>
      <c r="C958" s="87" t="s">
        <v>6155</v>
      </c>
      <c r="D958" s="88">
        <v>0</v>
      </c>
      <c r="E958" s="89"/>
      <c r="F958" s="89"/>
      <c r="G958" s="87" t="str">
        <f t="shared" si="14"/>
        <v>213110400'= CONTAS A PAGAR CREDORES NACIONAIS10992676000162</v>
      </c>
      <c r="H958" s="87" t="str">
        <f>VLOOKUP(Tabela1[[#This Row],[CONCATENAR]],'Classificações - Demonstrações'!$A$5:$C$46003,2,)</f>
        <v>Fornecedores</v>
      </c>
      <c r="I958" s="87"/>
    </row>
    <row r="959" spans="1:9" ht="12.75" customHeight="1" x14ac:dyDescent="0.2">
      <c r="A959" s="94" t="s">
        <v>5323</v>
      </c>
      <c r="B959" s="87" t="s">
        <v>435</v>
      </c>
      <c r="C959" s="87" t="s">
        <v>6156</v>
      </c>
      <c r="D959" s="88">
        <v>4692.3</v>
      </c>
      <c r="E959" s="89"/>
      <c r="F959" s="89"/>
      <c r="G959" s="87" t="str">
        <f t="shared" si="14"/>
        <v>213110400'= CONTAS A PAGAR CREDORES NACIONAIS11319574000143</v>
      </c>
      <c r="H959" s="87" t="str">
        <f>VLOOKUP(Tabela1[[#This Row],[CONCATENAR]],'Classificações - Demonstrações'!$A$5:$C$46003,2,)</f>
        <v>Fornecedores</v>
      </c>
      <c r="I959" s="87"/>
    </row>
    <row r="960" spans="1:9" ht="12.75" customHeight="1" x14ac:dyDescent="0.2">
      <c r="A960" s="94" t="s">
        <v>5323</v>
      </c>
      <c r="B960" s="87" t="s">
        <v>435</v>
      </c>
      <c r="C960" s="87" t="s">
        <v>6157</v>
      </c>
      <c r="D960" s="88">
        <v>65297.22</v>
      </c>
      <c r="E960" s="89"/>
      <c r="F960" s="89"/>
      <c r="G960" s="87" t="str">
        <f t="shared" si="14"/>
        <v>213110400'= CONTAS A PAGAR CREDORES NACIONAIS11394929000169</v>
      </c>
      <c r="H960" s="87" t="str">
        <f>VLOOKUP(Tabela1[[#This Row],[CONCATENAR]],'Classificações - Demonstrações'!$A$5:$C$46003,2,)</f>
        <v>Fornecedores</v>
      </c>
      <c r="I960" s="87"/>
    </row>
    <row r="961" spans="1:9" ht="12.75" customHeight="1" x14ac:dyDescent="0.2">
      <c r="A961" s="94" t="s">
        <v>5323</v>
      </c>
      <c r="B961" s="87" t="s">
        <v>435</v>
      </c>
      <c r="C961" s="87" t="s">
        <v>5676</v>
      </c>
      <c r="D961" s="88">
        <v>47302.76</v>
      </c>
      <c r="E961" s="89"/>
      <c r="F961" s="89"/>
      <c r="G961" s="87" t="str">
        <f t="shared" si="14"/>
        <v>213110400'= CONTAS A PAGAR CREDORES NACIONAIS11395635000151</v>
      </c>
      <c r="H961" s="87" t="str">
        <f>VLOOKUP(Tabela1[[#This Row],[CONCATENAR]],'Classificações - Demonstrações'!$A$5:$C$46003,2,)</f>
        <v>Fornecedores</v>
      </c>
      <c r="I961" s="87"/>
    </row>
    <row r="962" spans="1:9" ht="12.75" customHeight="1" x14ac:dyDescent="0.2">
      <c r="A962" s="94" t="s">
        <v>5323</v>
      </c>
      <c r="B962" s="87" t="s">
        <v>435</v>
      </c>
      <c r="C962" s="87" t="s">
        <v>6158</v>
      </c>
      <c r="D962" s="88">
        <v>0</v>
      </c>
      <c r="E962" s="89"/>
      <c r="F962" s="89"/>
      <c r="G962" s="87" t="str">
        <f t="shared" si="14"/>
        <v>213110400'= CONTAS A PAGAR CREDORES NACIONAIS115406</v>
      </c>
      <c r="H962" s="87" t="str">
        <f>VLOOKUP(Tabela1[[#This Row],[CONCATENAR]],'Classificações - Demonstrações'!$A$5:$C$46003,2,)</f>
        <v>Fornecedores</v>
      </c>
      <c r="I962" s="87"/>
    </row>
    <row r="963" spans="1:9" ht="12.75" customHeight="1" x14ac:dyDescent="0.2">
      <c r="A963" s="94" t="s">
        <v>5323</v>
      </c>
      <c r="B963" s="87" t="s">
        <v>435</v>
      </c>
      <c r="C963" s="87" t="s">
        <v>6159</v>
      </c>
      <c r="D963" s="88">
        <v>94811.32</v>
      </c>
      <c r="E963" s="89"/>
      <c r="F963" s="89"/>
      <c r="G963" s="87" t="str">
        <f t="shared" si="14"/>
        <v>213110400'= CONTAS A PAGAR CREDORES NACIONAIS11699534000174</v>
      </c>
      <c r="H963" s="87" t="str">
        <f>VLOOKUP(Tabela1[[#This Row],[CONCATENAR]],'Classificações - Demonstrações'!$A$5:$C$46003,2,)</f>
        <v>Fornecedores</v>
      </c>
      <c r="I963" s="87"/>
    </row>
    <row r="964" spans="1:9" ht="12.75" customHeight="1" x14ac:dyDescent="0.2">
      <c r="A964" s="94" t="s">
        <v>5323</v>
      </c>
      <c r="B964" s="87" t="s">
        <v>435</v>
      </c>
      <c r="C964" s="87" t="s">
        <v>6160</v>
      </c>
      <c r="D964" s="88">
        <v>0</v>
      </c>
      <c r="E964" s="89"/>
      <c r="F964" s="89"/>
      <c r="G964" s="87" t="str">
        <f t="shared" si="14"/>
        <v>213110400'= CONTAS A PAGAR CREDORES NACIONAIS11880336000102</v>
      </c>
      <c r="H964" s="87" t="str">
        <f>VLOOKUP(Tabela1[[#This Row],[CONCATENAR]],'Classificações - Demonstrações'!$A$5:$C$46003,2,)</f>
        <v>Fornecedores</v>
      </c>
      <c r="I964" s="87"/>
    </row>
    <row r="965" spans="1:9" ht="12.75" customHeight="1" x14ac:dyDescent="0.2">
      <c r="A965" s="94" t="s">
        <v>5323</v>
      </c>
      <c r="B965" s="87" t="s">
        <v>435</v>
      </c>
      <c r="C965" s="87" t="s">
        <v>6161</v>
      </c>
      <c r="D965" s="88">
        <v>39932.050000000003</v>
      </c>
      <c r="E965" s="89"/>
      <c r="F965" s="89"/>
      <c r="G965" s="87" t="str">
        <f t="shared" ref="G965:G1028" si="15">CONCATENATE(A965,B965,C965)</f>
        <v>213110400'= CONTAS A PAGAR CREDORES NACIONAIS12007998000135</v>
      </c>
      <c r="H965" s="87" t="str">
        <f>VLOOKUP(Tabela1[[#This Row],[CONCATENAR]],'Classificações - Demonstrações'!$A$5:$C$46003,2,)</f>
        <v>Fornecedores</v>
      </c>
      <c r="I965" s="87"/>
    </row>
    <row r="966" spans="1:9" ht="12.75" customHeight="1" x14ac:dyDescent="0.2">
      <c r="A966" s="94" t="s">
        <v>5323</v>
      </c>
      <c r="B966" s="87" t="s">
        <v>435</v>
      </c>
      <c r="C966" s="87" t="s">
        <v>6162</v>
      </c>
      <c r="D966" s="88">
        <v>46850</v>
      </c>
      <c r="E966" s="89"/>
      <c r="F966" s="89"/>
      <c r="G966" s="87" t="str">
        <f t="shared" si="15"/>
        <v>213110400'= CONTAS A PAGAR CREDORES NACIONAIS12267127000150</v>
      </c>
      <c r="H966" s="87" t="str">
        <f>VLOOKUP(Tabela1[[#This Row],[CONCATENAR]],'Classificações - Demonstrações'!$A$5:$C$46003,2,)</f>
        <v>Fornecedores</v>
      </c>
      <c r="I966" s="87"/>
    </row>
    <row r="967" spans="1:9" ht="12.75" customHeight="1" x14ac:dyDescent="0.2">
      <c r="A967" s="94" t="s">
        <v>5323</v>
      </c>
      <c r="B967" s="87" t="s">
        <v>435</v>
      </c>
      <c r="C967" s="87" t="s">
        <v>5799</v>
      </c>
      <c r="D967" s="88">
        <v>284624</v>
      </c>
      <c r="E967" s="89"/>
      <c r="F967" s="89"/>
      <c r="G967" s="87" t="str">
        <f t="shared" si="15"/>
        <v>213110400'= CONTAS A PAGAR CREDORES NACIONAIS12488669000153</v>
      </c>
      <c r="H967" s="87" t="str">
        <f>VLOOKUP(Tabela1[[#This Row],[CONCATENAR]],'Classificações - Demonstrações'!$A$5:$C$46003,2,)</f>
        <v>Fornecedores</v>
      </c>
      <c r="I967" s="87"/>
    </row>
    <row r="968" spans="1:9" ht="12.75" customHeight="1" x14ac:dyDescent="0.2">
      <c r="A968" s="94" t="s">
        <v>5323</v>
      </c>
      <c r="B968" s="87" t="s">
        <v>435</v>
      </c>
      <c r="C968" s="87" t="s">
        <v>6163</v>
      </c>
      <c r="D968" s="88">
        <v>9500</v>
      </c>
      <c r="E968" s="89"/>
      <c r="F968" s="89"/>
      <c r="G968" s="87" t="str">
        <f t="shared" si="15"/>
        <v>213110400'= CONTAS A PAGAR CREDORES NACIONAIS13226681000152</v>
      </c>
      <c r="H968" s="87" t="str">
        <f>VLOOKUP(Tabela1[[#This Row],[CONCATENAR]],'Classificações - Demonstrações'!$A$5:$C$46003,2,)</f>
        <v>Fornecedores</v>
      </c>
      <c r="I968" s="87"/>
    </row>
    <row r="969" spans="1:9" ht="12.75" customHeight="1" x14ac:dyDescent="0.2">
      <c r="A969" s="94" t="s">
        <v>5323</v>
      </c>
      <c r="B969" s="87" t="s">
        <v>435</v>
      </c>
      <c r="C969" s="87" t="s">
        <v>6164</v>
      </c>
      <c r="D969" s="88">
        <v>0</v>
      </c>
      <c r="E969" s="89"/>
      <c r="F969" s="89"/>
      <c r="G969" s="87" t="str">
        <f t="shared" si="15"/>
        <v>213110400'= CONTAS A PAGAR CREDORES NACIONAIS13751924000171</v>
      </c>
      <c r="H969" s="87" t="str">
        <f>VLOOKUP(Tabela1[[#This Row],[CONCATENAR]],'Classificações - Demonstrações'!$A$5:$C$46003,2,)</f>
        <v>Fornecedores</v>
      </c>
      <c r="I969" s="87"/>
    </row>
    <row r="970" spans="1:9" ht="12.75" customHeight="1" x14ac:dyDescent="0.2">
      <c r="A970" s="94" t="s">
        <v>5323</v>
      </c>
      <c r="B970" s="87" t="s">
        <v>435</v>
      </c>
      <c r="C970" s="87" t="s">
        <v>6165</v>
      </c>
      <c r="D970" s="88">
        <v>5730.57</v>
      </c>
      <c r="E970" s="89"/>
      <c r="F970" s="89"/>
      <c r="G970" s="87" t="str">
        <f t="shared" si="15"/>
        <v>213110400'= CONTAS A PAGAR CREDORES NACIONAIS13781452000108</v>
      </c>
      <c r="H970" s="87" t="str">
        <f>VLOOKUP(Tabela1[[#This Row],[CONCATENAR]],'Classificações - Demonstrações'!$A$5:$C$46003,2,)</f>
        <v>Fornecedores</v>
      </c>
      <c r="I970" s="87"/>
    </row>
    <row r="971" spans="1:9" ht="12.75" customHeight="1" x14ac:dyDescent="0.2">
      <c r="A971" s="94" t="s">
        <v>5323</v>
      </c>
      <c r="B971" s="87" t="s">
        <v>435</v>
      </c>
      <c r="C971" s="87" t="s">
        <v>545</v>
      </c>
      <c r="D971" s="88">
        <v>3938.79</v>
      </c>
      <c r="E971" s="89"/>
      <c r="F971" s="89"/>
      <c r="G971" s="87" t="str">
        <f t="shared" si="15"/>
        <v>213110400'= CONTAS A PAGAR CREDORES NACIONAIS13830495000128</v>
      </c>
      <c r="H971" s="87" t="str">
        <f>VLOOKUP(Tabela1[[#This Row],[CONCATENAR]],'Classificações - Demonstrações'!$A$5:$C$46003,2,)</f>
        <v>Fornecedores</v>
      </c>
      <c r="I971" s="87"/>
    </row>
    <row r="972" spans="1:9" ht="12.75" customHeight="1" x14ac:dyDescent="0.2">
      <c r="A972" s="94" t="s">
        <v>5323</v>
      </c>
      <c r="B972" s="87" t="s">
        <v>435</v>
      </c>
      <c r="C972" s="87" t="s">
        <v>6166</v>
      </c>
      <c r="D972" s="88">
        <v>34940</v>
      </c>
      <c r="E972" s="89"/>
      <c r="F972" s="89"/>
      <c r="G972" s="87" t="str">
        <f t="shared" si="15"/>
        <v>213110400'= CONTAS A PAGAR CREDORES NACIONAIS13991459000146</v>
      </c>
      <c r="H972" s="87" t="str">
        <f>VLOOKUP(Tabela1[[#This Row],[CONCATENAR]],'Classificações - Demonstrações'!$A$5:$C$46003,2,)</f>
        <v>Fornecedores</v>
      </c>
      <c r="I972" s="87"/>
    </row>
    <row r="973" spans="1:9" ht="12.75" customHeight="1" x14ac:dyDescent="0.2">
      <c r="A973" s="94" t="s">
        <v>5323</v>
      </c>
      <c r="B973" s="87" t="s">
        <v>435</v>
      </c>
      <c r="C973" s="87" t="s">
        <v>5677</v>
      </c>
      <c r="D973" s="88">
        <v>309261.76</v>
      </c>
      <c r="E973" s="89"/>
      <c r="F973" s="89"/>
      <c r="G973" s="87" t="str">
        <f t="shared" si="15"/>
        <v>213110400'= CONTAS A PAGAR CREDORES NACIONAIS14000561000103</v>
      </c>
      <c r="H973" s="87" t="str">
        <f>VLOOKUP(Tabela1[[#This Row],[CONCATENAR]],'Classificações - Demonstrações'!$A$5:$C$46003,2,)</f>
        <v>Fornecedores</v>
      </c>
      <c r="I973" s="87"/>
    </row>
    <row r="974" spans="1:9" ht="12.75" customHeight="1" x14ac:dyDescent="0.2">
      <c r="A974" s="94" t="s">
        <v>5323</v>
      </c>
      <c r="B974" s="87" t="s">
        <v>435</v>
      </c>
      <c r="C974" s="87" t="s">
        <v>6167</v>
      </c>
      <c r="D974" s="88">
        <v>27086</v>
      </c>
      <c r="E974" s="89"/>
      <c r="F974" s="89"/>
      <c r="G974" s="87" t="str">
        <f t="shared" si="15"/>
        <v>213110400'= CONTAS A PAGAR CREDORES NACIONAIS14108596000152</v>
      </c>
      <c r="H974" s="87" t="str">
        <f>VLOOKUP(Tabela1[[#This Row],[CONCATENAR]],'Classificações - Demonstrações'!$A$5:$C$46003,2,)</f>
        <v>Fornecedores</v>
      </c>
      <c r="I974" s="87"/>
    </row>
    <row r="975" spans="1:9" ht="12.75" customHeight="1" x14ac:dyDescent="0.2">
      <c r="A975" s="94" t="s">
        <v>5323</v>
      </c>
      <c r="B975" s="87" t="s">
        <v>435</v>
      </c>
      <c r="C975" s="87" t="s">
        <v>5800</v>
      </c>
      <c r="D975" s="88">
        <v>0</v>
      </c>
      <c r="E975" s="89"/>
      <c r="F975" s="89"/>
      <c r="G975" s="87" t="str">
        <f t="shared" si="15"/>
        <v>213110400'= CONTAS A PAGAR CREDORES NACIONAIS14140574000170</v>
      </c>
      <c r="H975" s="87" t="str">
        <f>VLOOKUP(Tabela1[[#This Row],[CONCATENAR]],'Classificações - Demonstrações'!$A$5:$C$46003,2,)</f>
        <v>Fornecedores</v>
      </c>
      <c r="I975" s="87"/>
    </row>
    <row r="976" spans="1:9" ht="12.75" customHeight="1" x14ac:dyDescent="0.2">
      <c r="A976" s="94" t="s">
        <v>5323</v>
      </c>
      <c r="B976" s="87" t="s">
        <v>435</v>
      </c>
      <c r="C976" s="87" t="s">
        <v>6168</v>
      </c>
      <c r="D976" s="88">
        <v>8000</v>
      </c>
      <c r="E976" s="89"/>
      <c r="F976" s="89"/>
      <c r="G976" s="87" t="str">
        <f t="shared" si="15"/>
        <v>213110400'= CONTAS A PAGAR CREDORES NACIONAIS14617721000150</v>
      </c>
      <c r="H976" s="87" t="str">
        <f>VLOOKUP(Tabela1[[#This Row],[CONCATENAR]],'Classificações - Demonstrações'!$A$5:$C$46003,2,)</f>
        <v>Fornecedores</v>
      </c>
      <c r="I976" s="87"/>
    </row>
    <row r="977" spans="1:9" ht="12.75" customHeight="1" x14ac:dyDescent="0.2">
      <c r="A977" s="94" t="s">
        <v>5323</v>
      </c>
      <c r="B977" s="87" t="s">
        <v>435</v>
      </c>
      <c r="C977" s="87" t="s">
        <v>6169</v>
      </c>
      <c r="D977" s="88">
        <v>54245.120000000003</v>
      </c>
      <c r="E977" s="89"/>
      <c r="F977" s="89"/>
      <c r="G977" s="87" t="str">
        <f t="shared" si="15"/>
        <v>213110400'= CONTAS A PAGAR CREDORES NACIONAIS15190840000131</v>
      </c>
      <c r="H977" s="87" t="str">
        <f>VLOOKUP(Tabela1[[#This Row],[CONCATENAR]],'Classificações - Demonstrações'!$A$5:$C$46003,2,)</f>
        <v>Fornecedores</v>
      </c>
      <c r="I977" s="87"/>
    </row>
    <row r="978" spans="1:9" ht="12.75" customHeight="1" x14ac:dyDescent="0.2">
      <c r="A978" s="94" t="s">
        <v>5323</v>
      </c>
      <c r="B978" s="87" t="s">
        <v>435</v>
      </c>
      <c r="C978" s="87" t="s">
        <v>5801</v>
      </c>
      <c r="D978" s="88">
        <v>0</v>
      </c>
      <c r="E978" s="89"/>
      <c r="F978" s="89"/>
      <c r="G978" s="87" t="str">
        <f t="shared" si="15"/>
        <v>213110400'= CONTAS A PAGAR CREDORES NACIONAIS15809115000107</v>
      </c>
      <c r="H978" s="87" t="str">
        <f>VLOOKUP(Tabela1[[#This Row],[CONCATENAR]],'Classificações - Demonstrações'!$A$5:$C$46003,2,)</f>
        <v>Fornecedores</v>
      </c>
      <c r="I978" s="87"/>
    </row>
    <row r="979" spans="1:9" ht="12.75" customHeight="1" x14ac:dyDescent="0.2">
      <c r="A979" s="94" t="s">
        <v>5323</v>
      </c>
      <c r="B979" s="87" t="s">
        <v>435</v>
      </c>
      <c r="C979" s="87" t="s">
        <v>6170</v>
      </c>
      <c r="D979" s="88">
        <v>0</v>
      </c>
      <c r="E979" s="89"/>
      <c r="F979" s="89"/>
      <c r="G979" s="87" t="str">
        <f t="shared" si="15"/>
        <v>213110400'= CONTAS A PAGAR CREDORES NACIONAIS16814622000193</v>
      </c>
      <c r="H979" s="87" t="str">
        <f>VLOOKUP(Tabela1[[#This Row],[CONCATENAR]],'Classificações - Demonstrações'!$A$5:$C$46003,2,)</f>
        <v>Fornecedores</v>
      </c>
      <c r="I979" s="87"/>
    </row>
    <row r="980" spans="1:9" ht="12.75" customHeight="1" x14ac:dyDescent="0.2">
      <c r="A980" s="94" t="s">
        <v>5323</v>
      </c>
      <c r="B980" s="87" t="s">
        <v>435</v>
      </c>
      <c r="C980" s="87" t="s">
        <v>6171</v>
      </c>
      <c r="D980" s="88">
        <v>5800</v>
      </c>
      <c r="E980" s="89"/>
      <c r="F980" s="89"/>
      <c r="G980" s="87" t="str">
        <f t="shared" si="15"/>
        <v>213110400'= CONTAS A PAGAR CREDORES NACIONAIS17178195002968</v>
      </c>
      <c r="H980" s="87" t="str">
        <f>VLOOKUP(Tabela1[[#This Row],[CONCATENAR]],'Classificações - Demonstrações'!$A$5:$C$46003,2,)</f>
        <v>Fornecedores</v>
      </c>
      <c r="I980" s="87"/>
    </row>
    <row r="981" spans="1:9" ht="12.75" customHeight="1" x14ac:dyDescent="0.2">
      <c r="A981" s="94" t="s">
        <v>5323</v>
      </c>
      <c r="B981" s="87" t="s">
        <v>435</v>
      </c>
      <c r="C981" s="87" t="s">
        <v>6172</v>
      </c>
      <c r="D981" s="88">
        <v>378525.6</v>
      </c>
      <c r="E981" s="89"/>
      <c r="F981" s="89"/>
      <c r="G981" s="87" t="str">
        <f t="shared" si="15"/>
        <v>213110400'= CONTAS A PAGAR CREDORES NACIONAIS17451234000158</v>
      </c>
      <c r="H981" s="87" t="str">
        <f>VLOOKUP(Tabela1[[#This Row],[CONCATENAR]],'Classificações - Demonstrações'!$A$5:$C$46003,2,)</f>
        <v>Fornecedores</v>
      </c>
      <c r="I981" s="87"/>
    </row>
    <row r="982" spans="1:9" ht="12.75" customHeight="1" x14ac:dyDescent="0.2">
      <c r="A982" s="94" t="s">
        <v>5323</v>
      </c>
      <c r="B982" s="87" t="s">
        <v>435</v>
      </c>
      <c r="C982" s="87" t="s">
        <v>6173</v>
      </c>
      <c r="D982" s="88">
        <v>7991.35</v>
      </c>
      <c r="E982" s="89"/>
      <c r="F982" s="89"/>
      <c r="G982" s="87" t="str">
        <f t="shared" si="15"/>
        <v>213110400'= CONTAS A PAGAR CREDORES NACIONAIS17526067000167</v>
      </c>
      <c r="H982" s="87" t="str">
        <f>VLOOKUP(Tabela1[[#This Row],[CONCATENAR]],'Classificações - Demonstrações'!$A$5:$C$46003,2,)</f>
        <v>Fornecedores</v>
      </c>
      <c r="I982" s="87"/>
    </row>
    <row r="983" spans="1:9" ht="12.75" customHeight="1" x14ac:dyDescent="0.2">
      <c r="A983" s="94" t="s">
        <v>5323</v>
      </c>
      <c r="B983" s="87" t="s">
        <v>435</v>
      </c>
      <c r="C983" s="87" t="s">
        <v>6174</v>
      </c>
      <c r="D983" s="88">
        <v>12800</v>
      </c>
      <c r="E983" s="89"/>
      <c r="F983" s="89"/>
      <c r="G983" s="87" t="str">
        <f t="shared" si="15"/>
        <v>213110400'= CONTAS A PAGAR CREDORES NACIONAIS17791755000154</v>
      </c>
      <c r="H983" s="87" t="str">
        <f>VLOOKUP(Tabela1[[#This Row],[CONCATENAR]],'Classificações - Demonstrações'!$A$5:$C$46003,2,)</f>
        <v>Fornecedores</v>
      </c>
      <c r="I983" s="87"/>
    </row>
    <row r="984" spans="1:9" ht="12.75" customHeight="1" x14ac:dyDescent="0.2">
      <c r="A984" s="94" t="s">
        <v>5323</v>
      </c>
      <c r="B984" s="87" t="s">
        <v>435</v>
      </c>
      <c r="C984" s="87" t="s">
        <v>6175</v>
      </c>
      <c r="D984" s="88">
        <v>0</v>
      </c>
      <c r="E984" s="89"/>
      <c r="F984" s="89"/>
      <c r="G984" s="87" t="str">
        <f t="shared" si="15"/>
        <v>213110400'= CONTAS A PAGAR CREDORES NACIONAIS18072608000197</v>
      </c>
      <c r="H984" s="87" t="str">
        <f>VLOOKUP(Tabela1[[#This Row],[CONCATENAR]],'Classificações - Demonstrações'!$A$5:$C$46003,2,)</f>
        <v>Fornecedores</v>
      </c>
      <c r="I984" s="87"/>
    </row>
    <row r="985" spans="1:9" ht="12.75" customHeight="1" x14ac:dyDescent="0.2">
      <c r="A985" s="94" t="s">
        <v>5323</v>
      </c>
      <c r="B985" s="87" t="s">
        <v>435</v>
      </c>
      <c r="C985" s="87" t="s">
        <v>6176</v>
      </c>
      <c r="D985" s="88">
        <v>0</v>
      </c>
      <c r="E985" s="89"/>
      <c r="F985" s="89"/>
      <c r="G985" s="87" t="str">
        <f t="shared" si="15"/>
        <v>213110400'= CONTAS A PAGAR CREDORES NACIONAIS18548151000144</v>
      </c>
      <c r="H985" s="87" t="str">
        <f>VLOOKUP(Tabela1[[#This Row],[CONCATENAR]],'Classificações - Demonstrações'!$A$5:$C$46003,2,)</f>
        <v>Fornecedores</v>
      </c>
      <c r="I985" s="87"/>
    </row>
    <row r="986" spans="1:9" ht="12.75" customHeight="1" x14ac:dyDescent="0.2">
      <c r="A986" s="94" t="s">
        <v>5323</v>
      </c>
      <c r="B986" s="87" t="s">
        <v>435</v>
      </c>
      <c r="C986" s="87" t="s">
        <v>6177</v>
      </c>
      <c r="D986" s="88">
        <v>0</v>
      </c>
      <c r="E986" s="89"/>
      <c r="F986" s="89"/>
      <c r="G986" s="87" t="str">
        <f t="shared" si="15"/>
        <v>213110400'= CONTAS A PAGAR CREDORES NACIONAIS19038976000181</v>
      </c>
      <c r="H986" s="87" t="str">
        <f>VLOOKUP(Tabela1[[#This Row],[CONCATENAR]],'Classificações - Demonstrações'!$A$5:$C$46003,2,)</f>
        <v>Fornecedores</v>
      </c>
      <c r="I986" s="87"/>
    </row>
    <row r="987" spans="1:9" ht="12.75" customHeight="1" x14ac:dyDescent="0.2">
      <c r="A987" s="94" t="s">
        <v>5323</v>
      </c>
      <c r="B987" s="87" t="s">
        <v>435</v>
      </c>
      <c r="C987" s="87" t="s">
        <v>5802</v>
      </c>
      <c r="D987" s="88">
        <v>105555.95</v>
      </c>
      <c r="E987" s="89"/>
      <c r="F987" s="89"/>
      <c r="G987" s="87" t="str">
        <f t="shared" si="15"/>
        <v>213110400'= CONTAS A PAGAR CREDORES NACIONAIS19069562000110</v>
      </c>
      <c r="H987" s="87" t="str">
        <f>VLOOKUP(Tabela1[[#This Row],[CONCATENAR]],'Classificações - Demonstrações'!$A$5:$C$46003,2,)</f>
        <v>Fornecedores</v>
      </c>
      <c r="I987" s="87"/>
    </row>
    <row r="988" spans="1:9" ht="12.75" customHeight="1" x14ac:dyDescent="0.2">
      <c r="A988" s="94" t="s">
        <v>5323</v>
      </c>
      <c r="B988" s="87" t="s">
        <v>435</v>
      </c>
      <c r="C988" s="87" t="s">
        <v>6178</v>
      </c>
      <c r="D988" s="88">
        <v>1406356.25</v>
      </c>
      <c r="E988" s="89"/>
      <c r="F988" s="89"/>
      <c r="G988" s="87" t="str">
        <f t="shared" si="15"/>
        <v>213110400'= CONTAS A PAGAR CREDORES NACIONAIS19270480000139</v>
      </c>
      <c r="H988" s="87" t="str">
        <f>VLOOKUP(Tabela1[[#This Row],[CONCATENAR]],'Classificações - Demonstrações'!$A$5:$C$46003,2,)</f>
        <v>Fornecedores</v>
      </c>
      <c r="I988" s="87"/>
    </row>
    <row r="989" spans="1:9" ht="12.75" customHeight="1" x14ac:dyDescent="0.2">
      <c r="A989" s="94" t="s">
        <v>5323</v>
      </c>
      <c r="B989" s="87" t="s">
        <v>435</v>
      </c>
      <c r="C989" s="87" t="s">
        <v>6179</v>
      </c>
      <c r="D989" s="88">
        <v>12039</v>
      </c>
      <c r="E989" s="89"/>
      <c r="F989" s="89"/>
      <c r="G989" s="87" t="str">
        <f t="shared" si="15"/>
        <v>213110400'= CONTAS A PAGAR CREDORES NACIONAIS19381800000128</v>
      </c>
      <c r="H989" s="87" t="str">
        <f>VLOOKUP(Tabela1[[#This Row],[CONCATENAR]],'Classificações - Demonstrações'!$A$5:$C$46003,2,)</f>
        <v>Fornecedores</v>
      </c>
      <c r="I989" s="87"/>
    </row>
    <row r="990" spans="1:9" ht="12.75" customHeight="1" x14ac:dyDescent="0.2">
      <c r="A990" s="94" t="s">
        <v>5323</v>
      </c>
      <c r="B990" s="87" t="s">
        <v>435</v>
      </c>
      <c r="C990" s="87" t="s">
        <v>6180</v>
      </c>
      <c r="D990" s="88">
        <v>58320</v>
      </c>
      <c r="E990" s="89"/>
      <c r="F990" s="89"/>
      <c r="G990" s="87" t="str">
        <f t="shared" si="15"/>
        <v>213110400'= CONTAS A PAGAR CREDORES NACIONAIS19502657000185</v>
      </c>
      <c r="H990" s="87" t="str">
        <f>VLOOKUP(Tabela1[[#This Row],[CONCATENAR]],'Classificações - Demonstrações'!$A$5:$C$46003,2,)</f>
        <v>Fornecedores</v>
      </c>
      <c r="I990" s="87"/>
    </row>
    <row r="991" spans="1:9" ht="12.75" customHeight="1" x14ac:dyDescent="0.2">
      <c r="A991" s="94" t="s">
        <v>5323</v>
      </c>
      <c r="B991" s="87" t="s">
        <v>435</v>
      </c>
      <c r="C991" s="87" t="s">
        <v>6181</v>
      </c>
      <c r="D991" s="88">
        <v>0</v>
      </c>
      <c r="E991" s="89"/>
      <c r="F991" s="89"/>
      <c r="G991" s="87" t="str">
        <f t="shared" si="15"/>
        <v>213110400'= CONTAS A PAGAR CREDORES NACIONAIS20050544000175</v>
      </c>
      <c r="H991" s="87" t="str">
        <f>VLOOKUP(Tabela1[[#This Row],[CONCATENAR]],'Classificações - Demonstrações'!$A$5:$C$46003,2,)</f>
        <v>Fornecedores</v>
      </c>
      <c r="I991" s="87"/>
    </row>
    <row r="992" spans="1:9" ht="12.75" customHeight="1" x14ac:dyDescent="0.2">
      <c r="A992" s="94" t="s">
        <v>5323</v>
      </c>
      <c r="B992" s="87" t="s">
        <v>435</v>
      </c>
      <c r="C992" s="87" t="s">
        <v>6182</v>
      </c>
      <c r="D992" s="88">
        <v>8545.6</v>
      </c>
      <c r="E992" s="89"/>
      <c r="F992" s="89"/>
      <c r="G992" s="87" t="str">
        <f t="shared" si="15"/>
        <v>213110400'= CONTAS A PAGAR CREDORES NACIONAIS20095607000100</v>
      </c>
      <c r="H992" s="87" t="str">
        <f>VLOOKUP(Tabela1[[#This Row],[CONCATENAR]],'Classificações - Demonstrações'!$A$5:$C$46003,2,)</f>
        <v>Fornecedores</v>
      </c>
      <c r="I992" s="87"/>
    </row>
    <row r="993" spans="1:9" ht="12.75" customHeight="1" x14ac:dyDescent="0.2">
      <c r="A993" s="94" t="s">
        <v>5323</v>
      </c>
      <c r="B993" s="87" t="s">
        <v>435</v>
      </c>
      <c r="C993" s="87" t="s">
        <v>6183</v>
      </c>
      <c r="D993" s="88">
        <v>0</v>
      </c>
      <c r="E993" s="89"/>
      <c r="F993" s="89"/>
      <c r="G993" s="87" t="str">
        <f t="shared" si="15"/>
        <v>213110400'= CONTAS A PAGAR CREDORES NACIONAIS20915727000106</v>
      </c>
      <c r="H993" s="87" t="str">
        <f>VLOOKUP(Tabela1[[#This Row],[CONCATENAR]],'Classificações - Demonstrações'!$A$5:$C$46003,2,)</f>
        <v>Fornecedores</v>
      </c>
      <c r="I993" s="87"/>
    </row>
    <row r="994" spans="1:9" ht="12.75" customHeight="1" x14ac:dyDescent="0.2">
      <c r="A994" s="94" t="s">
        <v>5323</v>
      </c>
      <c r="B994" s="87" t="s">
        <v>435</v>
      </c>
      <c r="C994" s="87" t="s">
        <v>6184</v>
      </c>
      <c r="D994" s="88">
        <v>0</v>
      </c>
      <c r="E994" s="89"/>
      <c r="F994" s="89"/>
      <c r="G994" s="87" t="str">
        <f t="shared" si="15"/>
        <v>213110400'= CONTAS A PAGAR CREDORES NACIONAIS21592185000140</v>
      </c>
      <c r="H994" s="87" t="str">
        <f>VLOOKUP(Tabela1[[#This Row],[CONCATENAR]],'Classificações - Demonstrações'!$A$5:$C$46003,2,)</f>
        <v>Fornecedores</v>
      </c>
      <c r="I994" s="87"/>
    </row>
    <row r="995" spans="1:9" ht="12.75" customHeight="1" x14ac:dyDescent="0.2">
      <c r="A995" s="94" t="s">
        <v>5323</v>
      </c>
      <c r="B995" s="87" t="s">
        <v>435</v>
      </c>
      <c r="C995" s="87" t="s">
        <v>6185</v>
      </c>
      <c r="D995" s="88">
        <v>5033.67</v>
      </c>
      <c r="E995" s="89"/>
      <c r="F995" s="89"/>
      <c r="G995" s="87" t="str">
        <f t="shared" si="15"/>
        <v>213110400'= CONTAS A PAGAR CREDORES NACIONAIS21736267000111</v>
      </c>
      <c r="H995" s="87" t="str">
        <f>VLOOKUP(Tabela1[[#This Row],[CONCATENAR]],'Classificações - Demonstrações'!$A$5:$C$46003,2,)</f>
        <v>Fornecedores</v>
      </c>
      <c r="I995" s="87"/>
    </row>
    <row r="996" spans="1:9" ht="12.75" customHeight="1" x14ac:dyDescent="0.2">
      <c r="A996" s="94" t="s">
        <v>5323</v>
      </c>
      <c r="B996" s="87" t="s">
        <v>435</v>
      </c>
      <c r="C996" s="87" t="s">
        <v>6186</v>
      </c>
      <c r="D996" s="88">
        <v>50940.21</v>
      </c>
      <c r="E996" s="89"/>
      <c r="F996" s="89"/>
      <c r="G996" s="87" t="str">
        <f t="shared" si="15"/>
        <v>213110400'= CONTAS A PAGAR CREDORES NACIONAIS21993683000103</v>
      </c>
      <c r="H996" s="87" t="str">
        <f>VLOOKUP(Tabela1[[#This Row],[CONCATENAR]],'Classificações - Demonstrações'!$A$5:$C$46003,2,)</f>
        <v>Fornecedores</v>
      </c>
      <c r="I996" s="87"/>
    </row>
    <row r="997" spans="1:9" ht="12.75" customHeight="1" x14ac:dyDescent="0.2">
      <c r="A997" s="94" t="s">
        <v>5323</v>
      </c>
      <c r="B997" s="87" t="s">
        <v>435</v>
      </c>
      <c r="C997" s="87" t="s">
        <v>6187</v>
      </c>
      <c r="D997" s="88">
        <v>0</v>
      </c>
      <c r="E997" s="89"/>
      <c r="F997" s="89"/>
      <c r="G997" s="87" t="str">
        <f t="shared" si="15"/>
        <v>213110400'= CONTAS A PAGAR CREDORES NACIONAIS22122705000114</v>
      </c>
      <c r="H997" s="87" t="str">
        <f>VLOOKUP(Tabela1[[#This Row],[CONCATENAR]],'Classificações - Demonstrações'!$A$5:$C$46003,2,)</f>
        <v>Fornecedores</v>
      </c>
      <c r="I997" s="87"/>
    </row>
    <row r="998" spans="1:9" ht="12.75" customHeight="1" x14ac:dyDescent="0.2">
      <c r="A998" s="94" t="s">
        <v>5323</v>
      </c>
      <c r="B998" s="87" t="s">
        <v>435</v>
      </c>
      <c r="C998" s="87" t="s">
        <v>5141</v>
      </c>
      <c r="D998" s="88">
        <v>126000</v>
      </c>
      <c r="E998" s="89"/>
      <c r="F998" s="89"/>
      <c r="G998" s="87" t="str">
        <f t="shared" si="15"/>
        <v>213110400'= CONTAS A PAGAR CREDORES NACIONAIS23001873000114</v>
      </c>
      <c r="H998" s="87" t="str">
        <f>VLOOKUP(Tabela1[[#This Row],[CONCATENAR]],'Classificações - Demonstrações'!$A$5:$C$46003,2,)</f>
        <v>Fornecedores</v>
      </c>
      <c r="I998" s="87"/>
    </row>
    <row r="999" spans="1:9" ht="12.75" customHeight="1" x14ac:dyDescent="0.2">
      <c r="A999" s="94" t="s">
        <v>5323</v>
      </c>
      <c r="B999" s="87" t="s">
        <v>435</v>
      </c>
      <c r="C999" s="87" t="s">
        <v>6188</v>
      </c>
      <c r="D999" s="88">
        <v>3270</v>
      </c>
      <c r="E999" s="89"/>
      <c r="F999" s="89"/>
      <c r="G999" s="87" t="str">
        <f t="shared" si="15"/>
        <v>213110400'= CONTAS A PAGAR CREDORES NACIONAIS23566982000189</v>
      </c>
      <c r="H999" s="87" t="str">
        <f>VLOOKUP(Tabela1[[#This Row],[CONCATENAR]],'Classificações - Demonstrações'!$A$5:$C$46003,2,)</f>
        <v>Fornecedores</v>
      </c>
      <c r="I999" s="87"/>
    </row>
    <row r="1000" spans="1:9" ht="12.75" customHeight="1" x14ac:dyDescent="0.2">
      <c r="A1000" s="94" t="s">
        <v>5323</v>
      </c>
      <c r="B1000" s="87" t="s">
        <v>435</v>
      </c>
      <c r="C1000" s="87" t="s">
        <v>6189</v>
      </c>
      <c r="D1000" s="88">
        <v>8302</v>
      </c>
      <c r="E1000" s="89"/>
      <c r="F1000" s="89"/>
      <c r="G1000" s="87" t="str">
        <f t="shared" si="15"/>
        <v>213110400'= CONTAS A PAGAR CREDORES NACIONAIS23886982000166</v>
      </c>
      <c r="H1000" s="87" t="str">
        <f>VLOOKUP(Tabela1[[#This Row],[CONCATENAR]],'Classificações - Demonstrações'!$A$5:$C$46003,2,)</f>
        <v>Fornecedores</v>
      </c>
      <c r="I1000" s="87"/>
    </row>
    <row r="1001" spans="1:9" ht="12.75" customHeight="1" x14ac:dyDescent="0.2">
      <c r="A1001" s="94" t="s">
        <v>5323</v>
      </c>
      <c r="B1001" s="87" t="s">
        <v>435</v>
      </c>
      <c r="C1001" s="87" t="s">
        <v>6190</v>
      </c>
      <c r="D1001" s="88">
        <v>0</v>
      </c>
      <c r="E1001" s="89"/>
      <c r="F1001" s="89"/>
      <c r="G1001" s="87" t="str">
        <f t="shared" si="15"/>
        <v>213110400'= CONTAS A PAGAR CREDORES NACIONAIS23908807000122</v>
      </c>
      <c r="H1001" s="87" t="str">
        <f>VLOOKUP(Tabela1[[#This Row],[CONCATENAR]],'Classificações - Demonstrações'!$A$5:$C$46003,2,)</f>
        <v>Fornecedores</v>
      </c>
      <c r="I1001" s="87"/>
    </row>
    <row r="1002" spans="1:9" ht="12.75" customHeight="1" x14ac:dyDescent="0.2">
      <c r="A1002" s="94" t="s">
        <v>5323</v>
      </c>
      <c r="B1002" s="87" t="s">
        <v>435</v>
      </c>
      <c r="C1002" s="87" t="s">
        <v>6191</v>
      </c>
      <c r="D1002" s="88">
        <v>22247.25</v>
      </c>
      <c r="E1002" s="89"/>
      <c r="F1002" s="89"/>
      <c r="G1002" s="87" t="str">
        <f t="shared" si="15"/>
        <v>213110400'= CONTAS A PAGAR CREDORES NACIONAIS24239418000114</v>
      </c>
      <c r="H1002" s="87" t="str">
        <f>VLOOKUP(Tabela1[[#This Row],[CONCATENAR]],'Classificações - Demonstrações'!$A$5:$C$46003,2,)</f>
        <v>Fornecedores</v>
      </c>
      <c r="I1002" s="87"/>
    </row>
    <row r="1003" spans="1:9" ht="12.75" customHeight="1" x14ac:dyDescent="0.2">
      <c r="A1003" s="94" t="s">
        <v>5323</v>
      </c>
      <c r="B1003" s="87" t="s">
        <v>435</v>
      </c>
      <c r="C1003" s="87" t="s">
        <v>6192</v>
      </c>
      <c r="D1003" s="88">
        <v>0</v>
      </c>
      <c r="E1003" s="89"/>
      <c r="F1003" s="89"/>
      <c r="G1003" s="87" t="str">
        <f t="shared" si="15"/>
        <v>213110400'= CONTAS A PAGAR CREDORES NACIONAIS24777932000103</v>
      </c>
      <c r="H1003" s="87" t="str">
        <f>VLOOKUP(Tabela1[[#This Row],[CONCATENAR]],'Classificações - Demonstrações'!$A$5:$C$46003,2,)</f>
        <v>Fornecedores</v>
      </c>
      <c r="I1003" s="87"/>
    </row>
    <row r="1004" spans="1:9" ht="12.75" customHeight="1" x14ac:dyDescent="0.2">
      <c r="A1004" s="94" t="s">
        <v>5323</v>
      </c>
      <c r="B1004" s="87" t="s">
        <v>435</v>
      </c>
      <c r="C1004" s="87" t="s">
        <v>6193</v>
      </c>
      <c r="D1004" s="88">
        <v>0</v>
      </c>
      <c r="E1004" s="89"/>
      <c r="F1004" s="89"/>
      <c r="G1004" s="87" t="str">
        <f t="shared" si="15"/>
        <v>213110400'= CONTAS A PAGAR CREDORES NACIONAIS25229713000152</v>
      </c>
      <c r="H1004" s="87" t="str">
        <f>VLOOKUP(Tabela1[[#This Row],[CONCATENAR]],'Classificações - Demonstrações'!$A$5:$C$46003,2,)</f>
        <v>Fornecedores</v>
      </c>
      <c r="I1004" s="87"/>
    </row>
    <row r="1005" spans="1:9" ht="12.75" customHeight="1" x14ac:dyDescent="0.2">
      <c r="A1005" s="94" t="s">
        <v>5323</v>
      </c>
      <c r="B1005" s="87" t="s">
        <v>435</v>
      </c>
      <c r="C1005" s="87" t="s">
        <v>6194</v>
      </c>
      <c r="D1005" s="88">
        <v>169999.97</v>
      </c>
      <c r="E1005" s="89"/>
      <c r="F1005" s="89"/>
      <c r="G1005" s="87" t="str">
        <f t="shared" si="15"/>
        <v>213110400'= CONTAS A PAGAR CREDORES NACIONAIS25258766000100</v>
      </c>
      <c r="H1005" s="87" t="str">
        <f>VLOOKUP(Tabela1[[#This Row],[CONCATENAR]],'Classificações - Demonstrações'!$A$5:$C$46003,2,)</f>
        <v>Fornecedores</v>
      </c>
      <c r="I1005" s="87"/>
    </row>
    <row r="1006" spans="1:9" ht="12.75" customHeight="1" x14ac:dyDescent="0.2">
      <c r="A1006" s="94" t="s">
        <v>5323</v>
      </c>
      <c r="B1006" s="87" t="s">
        <v>435</v>
      </c>
      <c r="C1006" s="87" t="s">
        <v>6195</v>
      </c>
      <c r="D1006" s="88">
        <v>0</v>
      </c>
      <c r="E1006" s="89"/>
      <c r="F1006" s="89"/>
      <c r="G1006" s="87" t="str">
        <f t="shared" si="15"/>
        <v>213110400'= CONTAS A PAGAR CREDORES NACIONAIS26481299000137</v>
      </c>
      <c r="H1006" s="87" t="str">
        <f>VLOOKUP(Tabela1[[#This Row],[CONCATENAR]],'Classificações - Demonstrações'!$A$5:$C$46003,2,)</f>
        <v>Fornecedores</v>
      </c>
      <c r="I1006" s="87"/>
    </row>
    <row r="1007" spans="1:9" ht="12.75" customHeight="1" x14ac:dyDescent="0.2">
      <c r="A1007" s="94" t="s">
        <v>5323</v>
      </c>
      <c r="B1007" s="87" t="s">
        <v>435</v>
      </c>
      <c r="C1007" s="87" t="s">
        <v>6196</v>
      </c>
      <c r="D1007" s="88">
        <v>0</v>
      </c>
      <c r="E1007" s="89"/>
      <c r="F1007" s="89"/>
      <c r="G1007" s="87" t="str">
        <f t="shared" si="15"/>
        <v>213110400'= CONTAS A PAGAR CREDORES NACIONAIS26692162000121</v>
      </c>
      <c r="H1007" s="87" t="str">
        <f>VLOOKUP(Tabela1[[#This Row],[CONCATENAR]],'Classificações - Demonstrações'!$A$5:$C$46003,2,)</f>
        <v>Fornecedores</v>
      </c>
      <c r="I1007" s="87"/>
    </row>
    <row r="1008" spans="1:9" ht="12.75" customHeight="1" x14ac:dyDescent="0.2">
      <c r="A1008" s="94" t="s">
        <v>5323</v>
      </c>
      <c r="B1008" s="87" t="s">
        <v>435</v>
      </c>
      <c r="C1008" s="87" t="s">
        <v>5803</v>
      </c>
      <c r="D1008" s="88">
        <v>16240</v>
      </c>
      <c r="E1008" s="89"/>
      <c r="F1008" s="89"/>
      <c r="G1008" s="87" t="str">
        <f t="shared" si="15"/>
        <v>213110400'= CONTAS A PAGAR CREDORES NACIONAIS27372218000123</v>
      </c>
      <c r="H1008" s="87" t="str">
        <f>VLOOKUP(Tabela1[[#This Row],[CONCATENAR]],'Classificações - Demonstrações'!$A$5:$C$46003,2,)</f>
        <v>Fornecedores</v>
      </c>
      <c r="I1008" s="87"/>
    </row>
    <row r="1009" spans="1:9" ht="12.75" customHeight="1" x14ac:dyDescent="0.2">
      <c r="A1009" s="94" t="s">
        <v>5323</v>
      </c>
      <c r="B1009" s="87" t="s">
        <v>435</v>
      </c>
      <c r="C1009" s="87" t="s">
        <v>6197</v>
      </c>
      <c r="D1009" s="88">
        <v>0</v>
      </c>
      <c r="E1009" s="89"/>
      <c r="F1009" s="89"/>
      <c r="G1009" s="87" t="str">
        <f t="shared" si="15"/>
        <v>213110400'= CONTAS A PAGAR CREDORES NACIONAIS27490346000171</v>
      </c>
      <c r="H1009" s="87" t="str">
        <f>VLOOKUP(Tabela1[[#This Row],[CONCATENAR]],'Classificações - Demonstrações'!$A$5:$C$46003,2,)</f>
        <v>Fornecedores</v>
      </c>
      <c r="I1009" s="87"/>
    </row>
    <row r="1010" spans="1:9" ht="12.75" customHeight="1" x14ac:dyDescent="0.2">
      <c r="A1010" s="94" t="s">
        <v>5323</v>
      </c>
      <c r="B1010" s="87" t="s">
        <v>435</v>
      </c>
      <c r="C1010" s="87" t="s">
        <v>6198</v>
      </c>
      <c r="D1010" s="88">
        <v>920</v>
      </c>
      <c r="E1010" s="89"/>
      <c r="F1010" s="89"/>
      <c r="G1010" s="87" t="str">
        <f t="shared" si="15"/>
        <v>213110400'= CONTAS A PAGAR CREDORES NACIONAIS27797268000152</v>
      </c>
      <c r="H1010" s="87" t="str">
        <f>VLOOKUP(Tabela1[[#This Row],[CONCATENAR]],'Classificações - Demonstrações'!$A$5:$C$46003,2,)</f>
        <v>Fornecedores</v>
      </c>
      <c r="I1010" s="87"/>
    </row>
    <row r="1011" spans="1:9" ht="12.75" customHeight="1" x14ac:dyDescent="0.2">
      <c r="A1011" s="94" t="s">
        <v>5323</v>
      </c>
      <c r="B1011" s="87" t="s">
        <v>435</v>
      </c>
      <c r="C1011" s="87" t="s">
        <v>6199</v>
      </c>
      <c r="D1011" s="88">
        <v>229000</v>
      </c>
      <c r="E1011" s="89"/>
      <c r="F1011" s="89"/>
      <c r="G1011" s="87" t="str">
        <f t="shared" si="15"/>
        <v>213110400'= CONTAS A PAGAR CREDORES NACIONAIS28291122000101</v>
      </c>
      <c r="H1011" s="87" t="str">
        <f>VLOOKUP(Tabela1[[#This Row],[CONCATENAR]],'Classificações - Demonstrações'!$A$5:$C$46003,2,)</f>
        <v>Fornecedores</v>
      </c>
      <c r="I1011" s="87"/>
    </row>
    <row r="1012" spans="1:9" ht="12.75" customHeight="1" x14ac:dyDescent="0.2">
      <c r="A1012" s="94" t="s">
        <v>5323</v>
      </c>
      <c r="B1012" s="87" t="s">
        <v>435</v>
      </c>
      <c r="C1012" s="87" t="s">
        <v>296</v>
      </c>
      <c r="D1012" s="88">
        <v>35846.25</v>
      </c>
      <c r="E1012" s="89"/>
      <c r="F1012" s="89"/>
      <c r="G1012" s="87" t="str">
        <f t="shared" si="15"/>
        <v>213110400'= CONTAS A PAGAR CREDORES NACIONAIS28383198000159</v>
      </c>
      <c r="H1012" s="87" t="str">
        <f>VLOOKUP(Tabela1[[#This Row],[CONCATENAR]],'Classificações - Demonstrações'!$A$5:$C$46003,2,)</f>
        <v>Fornecedores</v>
      </c>
      <c r="I1012" s="87"/>
    </row>
    <row r="1013" spans="1:9" ht="12.75" customHeight="1" x14ac:dyDescent="0.2">
      <c r="A1013" s="94" t="s">
        <v>5323</v>
      </c>
      <c r="B1013" s="87" t="s">
        <v>435</v>
      </c>
      <c r="C1013" s="87" t="s">
        <v>6200</v>
      </c>
      <c r="D1013" s="88">
        <v>24320</v>
      </c>
      <c r="E1013" s="89"/>
      <c r="F1013" s="89"/>
      <c r="G1013" s="87" t="str">
        <f t="shared" si="15"/>
        <v>213110400'= CONTAS A PAGAR CREDORES NACIONAIS28477946000162</v>
      </c>
      <c r="H1013" s="87" t="str">
        <f>VLOOKUP(Tabela1[[#This Row],[CONCATENAR]],'Classificações - Demonstrações'!$A$5:$C$46003,2,)</f>
        <v>Fornecedores</v>
      </c>
      <c r="I1013" s="87"/>
    </row>
    <row r="1014" spans="1:9" ht="12.75" customHeight="1" x14ac:dyDescent="0.2">
      <c r="A1014" s="94" t="s">
        <v>5323</v>
      </c>
      <c r="B1014" s="87" t="s">
        <v>435</v>
      </c>
      <c r="C1014" s="87" t="s">
        <v>6201</v>
      </c>
      <c r="D1014" s="88">
        <v>0</v>
      </c>
      <c r="E1014" s="89"/>
      <c r="F1014" s="89"/>
      <c r="G1014" s="87" t="str">
        <f t="shared" si="15"/>
        <v>213110400'= CONTAS A PAGAR CREDORES NACIONAIS28503351000134</v>
      </c>
      <c r="H1014" s="87" t="str">
        <f>VLOOKUP(Tabela1[[#This Row],[CONCATENAR]],'Classificações - Demonstrações'!$A$5:$C$46003,2,)</f>
        <v>Fornecedores</v>
      </c>
      <c r="I1014" s="87"/>
    </row>
    <row r="1015" spans="1:9" ht="12.75" customHeight="1" x14ac:dyDescent="0.2">
      <c r="A1015" s="94" t="s">
        <v>5323</v>
      </c>
      <c r="B1015" s="87" t="s">
        <v>435</v>
      </c>
      <c r="C1015" s="87" t="s">
        <v>4537</v>
      </c>
      <c r="D1015" s="88">
        <v>5767.84</v>
      </c>
      <c r="E1015" s="89"/>
      <c r="F1015" s="89"/>
      <c r="G1015" s="87" t="str">
        <f t="shared" si="15"/>
        <v>213110400'= CONTAS A PAGAR CREDORES NACIONAIS29080486000105</v>
      </c>
      <c r="H1015" s="87" t="str">
        <f>VLOOKUP(Tabela1[[#This Row],[CONCATENAR]],'Classificações - Demonstrações'!$A$5:$C$46003,2,)</f>
        <v>Fornecedores</v>
      </c>
      <c r="I1015" s="87"/>
    </row>
    <row r="1016" spans="1:9" ht="12.75" customHeight="1" x14ac:dyDescent="0.2">
      <c r="A1016" s="94" t="s">
        <v>5323</v>
      </c>
      <c r="B1016" s="87" t="s">
        <v>435</v>
      </c>
      <c r="C1016" s="87" t="s">
        <v>6202</v>
      </c>
      <c r="D1016" s="88">
        <v>10121</v>
      </c>
      <c r="E1016" s="89"/>
      <c r="F1016" s="89"/>
      <c r="G1016" s="87" t="str">
        <f t="shared" si="15"/>
        <v>213110400'= CONTAS A PAGAR CREDORES NACIONAIS29180955000230</v>
      </c>
      <c r="H1016" s="87" t="str">
        <f>VLOOKUP(Tabela1[[#This Row],[CONCATENAR]],'Classificações - Demonstrações'!$A$5:$C$46003,2,)</f>
        <v>Fornecedores</v>
      </c>
      <c r="I1016" s="87"/>
    </row>
    <row r="1017" spans="1:9" ht="12.75" customHeight="1" x14ac:dyDescent="0.2">
      <c r="A1017" s="94" t="s">
        <v>5323</v>
      </c>
      <c r="B1017" s="87" t="s">
        <v>435</v>
      </c>
      <c r="C1017" s="87" t="s">
        <v>6203</v>
      </c>
      <c r="D1017" s="88">
        <v>7838.9</v>
      </c>
      <c r="E1017" s="89"/>
      <c r="F1017" s="89"/>
      <c r="G1017" s="87" t="str">
        <f t="shared" si="15"/>
        <v>213110400'= CONTAS A PAGAR CREDORES NACIONAIS29359171000193</v>
      </c>
      <c r="H1017" s="87" t="str">
        <f>VLOOKUP(Tabela1[[#This Row],[CONCATENAR]],'Classificações - Demonstrações'!$A$5:$C$46003,2,)</f>
        <v>Fornecedores</v>
      </c>
      <c r="I1017" s="87"/>
    </row>
    <row r="1018" spans="1:9" ht="12.75" customHeight="1" x14ac:dyDescent="0.2">
      <c r="A1018" s="94" t="s">
        <v>5323</v>
      </c>
      <c r="B1018" s="87" t="s">
        <v>435</v>
      </c>
      <c r="C1018" s="87" t="s">
        <v>4642</v>
      </c>
      <c r="D1018" s="88">
        <v>64185.31</v>
      </c>
      <c r="E1018" s="89"/>
      <c r="F1018" s="89"/>
      <c r="G1018" s="87" t="str">
        <f t="shared" si="15"/>
        <v>213110400'= CONTAS A PAGAR CREDORES NACIONAIS29799921000148</v>
      </c>
      <c r="H1018" s="87" t="str">
        <f>VLOOKUP(Tabela1[[#This Row],[CONCATENAR]],'Classificações - Demonstrações'!$A$5:$C$46003,2,)</f>
        <v>Fornecedores</v>
      </c>
      <c r="I1018" s="87"/>
    </row>
    <row r="1019" spans="1:9" ht="12.75" customHeight="1" x14ac:dyDescent="0.2">
      <c r="A1019" s="94" t="s">
        <v>5323</v>
      </c>
      <c r="B1019" s="87" t="s">
        <v>435</v>
      </c>
      <c r="C1019" s="87" t="s">
        <v>6204</v>
      </c>
      <c r="D1019" s="88">
        <v>6000</v>
      </c>
      <c r="E1019" s="89"/>
      <c r="F1019" s="89"/>
      <c r="G1019" s="87" t="str">
        <f t="shared" si="15"/>
        <v>213110400'= CONTAS A PAGAR CREDORES NACIONAIS29935657000122</v>
      </c>
      <c r="H1019" s="87" t="str">
        <f>VLOOKUP(Tabela1[[#This Row],[CONCATENAR]],'Classificações - Demonstrações'!$A$5:$C$46003,2,)</f>
        <v>Fornecedores</v>
      </c>
      <c r="I1019" s="87"/>
    </row>
    <row r="1020" spans="1:9" ht="12.75" customHeight="1" x14ac:dyDescent="0.2">
      <c r="A1020" s="94" t="s">
        <v>5323</v>
      </c>
      <c r="B1020" s="87" t="s">
        <v>435</v>
      </c>
      <c r="C1020" s="87" t="s">
        <v>6205</v>
      </c>
      <c r="D1020" s="88">
        <v>35306.36</v>
      </c>
      <c r="E1020" s="89"/>
      <c r="F1020" s="89"/>
      <c r="G1020" s="87" t="str">
        <f t="shared" si="15"/>
        <v>213110400'= CONTAS A PAGAR CREDORES NACIONAIS30020705000131</v>
      </c>
      <c r="H1020" s="87" t="str">
        <f>VLOOKUP(Tabela1[[#This Row],[CONCATENAR]],'Classificações - Demonstrações'!$A$5:$C$46003,2,)</f>
        <v>Fornecedores</v>
      </c>
      <c r="I1020" s="87"/>
    </row>
    <row r="1021" spans="1:9" ht="12.75" customHeight="1" x14ac:dyDescent="0.2">
      <c r="A1021" s="94" t="s">
        <v>5323</v>
      </c>
      <c r="B1021" s="87" t="s">
        <v>435</v>
      </c>
      <c r="C1021" s="87" t="s">
        <v>6206</v>
      </c>
      <c r="D1021" s="88">
        <v>128593.17</v>
      </c>
      <c r="E1021" s="89"/>
      <c r="F1021" s="89"/>
      <c r="G1021" s="87" t="str">
        <f t="shared" si="15"/>
        <v>213110400'= CONTAS A PAGAR CREDORES NACIONAIS30249603000192</v>
      </c>
      <c r="H1021" s="87" t="str">
        <f>VLOOKUP(Tabela1[[#This Row],[CONCATENAR]],'Classificações - Demonstrações'!$A$5:$C$46003,2,)</f>
        <v>Fornecedores</v>
      </c>
      <c r="I1021" s="87"/>
    </row>
    <row r="1022" spans="1:9" ht="12.75" customHeight="1" x14ac:dyDescent="0.2">
      <c r="A1022" s="94" t="s">
        <v>5323</v>
      </c>
      <c r="B1022" s="87" t="s">
        <v>435</v>
      </c>
      <c r="C1022" s="87" t="s">
        <v>6207</v>
      </c>
      <c r="D1022" s="88">
        <v>0</v>
      </c>
      <c r="E1022" s="89"/>
      <c r="F1022" s="89"/>
      <c r="G1022" s="87" t="str">
        <f t="shared" si="15"/>
        <v>213110400'= CONTAS A PAGAR CREDORES NACIONAIS30460011000115</v>
      </c>
      <c r="H1022" s="87" t="str">
        <f>VLOOKUP(Tabela1[[#This Row],[CONCATENAR]],'Classificações - Demonstrações'!$A$5:$C$46003,2,)</f>
        <v>Fornecedores</v>
      </c>
      <c r="I1022" s="87"/>
    </row>
    <row r="1023" spans="1:9" ht="12.75" customHeight="1" x14ac:dyDescent="0.2">
      <c r="A1023" s="94" t="s">
        <v>5323</v>
      </c>
      <c r="B1023" s="87" t="s">
        <v>435</v>
      </c>
      <c r="C1023" s="87" t="s">
        <v>4800</v>
      </c>
      <c r="D1023" s="88">
        <v>0</v>
      </c>
      <c r="E1023" s="89"/>
      <c r="F1023" s="89"/>
      <c r="G1023" s="87" t="str">
        <f t="shared" si="15"/>
        <v>213110400'= CONTAS A PAGAR CREDORES NACIONAIS305000026600000000000191</v>
      </c>
      <c r="H1023" s="87" t="str">
        <f>VLOOKUP(Tabela1[[#This Row],[CONCATENAR]],'Classificações - Demonstrações'!$A$5:$C$46003,2,)</f>
        <v>Fornecedores</v>
      </c>
      <c r="I1023" s="87"/>
    </row>
    <row r="1024" spans="1:9" ht="12.75" customHeight="1" x14ac:dyDescent="0.2">
      <c r="A1024" s="94" t="s">
        <v>5323</v>
      </c>
      <c r="B1024" s="87" t="s">
        <v>435</v>
      </c>
      <c r="C1024" s="87" t="s">
        <v>6208</v>
      </c>
      <c r="D1024" s="88">
        <v>46511.45</v>
      </c>
      <c r="E1024" s="89"/>
      <c r="F1024" s="89"/>
      <c r="G1024" s="87" t="str">
        <f t="shared" si="15"/>
        <v>213110400'= CONTAS A PAGAR CREDORES NACIONAIS305000026600138806000140</v>
      </c>
      <c r="H1024" s="87" t="str">
        <f>VLOOKUP(Tabela1[[#This Row],[CONCATENAR]],'Classificações - Demonstrações'!$A$5:$C$46003,2,)</f>
        <v>Fornecedores</v>
      </c>
      <c r="I1024" s="87"/>
    </row>
    <row r="1025" spans="1:9" ht="12.75" customHeight="1" x14ac:dyDescent="0.2">
      <c r="A1025" s="94" t="s">
        <v>5323</v>
      </c>
      <c r="B1025" s="87" t="s">
        <v>435</v>
      </c>
      <c r="C1025" s="87" t="s">
        <v>6209</v>
      </c>
      <c r="D1025" s="88">
        <v>0</v>
      </c>
      <c r="E1025" s="89"/>
      <c r="F1025" s="89"/>
      <c r="G1025" s="87" t="str">
        <f t="shared" si="15"/>
        <v>213110400'= CONTAS A PAGAR CREDORES NACIONAIS305000026621993683000103</v>
      </c>
      <c r="H1025" s="87" t="str">
        <f>VLOOKUP(Tabela1[[#This Row],[CONCATENAR]],'Classificações - Demonstrações'!$A$5:$C$46003,2,)</f>
        <v>Fornecedores</v>
      </c>
      <c r="I1025" s="87"/>
    </row>
    <row r="1026" spans="1:9" ht="12.75" customHeight="1" x14ac:dyDescent="0.2">
      <c r="A1026" s="94" t="s">
        <v>5323</v>
      </c>
      <c r="B1026" s="87" t="s">
        <v>435</v>
      </c>
      <c r="C1026" s="87" t="s">
        <v>6210</v>
      </c>
      <c r="D1026" s="88">
        <v>0</v>
      </c>
      <c r="E1026" s="89"/>
      <c r="F1026" s="89"/>
      <c r="G1026" s="87" t="str">
        <f t="shared" si="15"/>
        <v>213110400'= CONTAS A PAGAR CREDORES NACIONAIS305000026628383198000159</v>
      </c>
      <c r="H1026" s="87" t="str">
        <f>VLOOKUP(Tabela1[[#This Row],[CONCATENAR]],'Classificações - Demonstrações'!$A$5:$C$46003,2,)</f>
        <v>Fornecedores</v>
      </c>
      <c r="I1026" s="87"/>
    </row>
    <row r="1027" spans="1:9" ht="12.75" customHeight="1" x14ac:dyDescent="0.2">
      <c r="A1027" s="94" t="s">
        <v>5323</v>
      </c>
      <c r="B1027" s="87" t="s">
        <v>435</v>
      </c>
      <c r="C1027" s="87" t="s">
        <v>6211</v>
      </c>
      <c r="D1027" s="88">
        <v>0</v>
      </c>
      <c r="E1027" s="89"/>
      <c r="F1027" s="89"/>
      <c r="G1027" s="87" t="str">
        <f t="shared" si="15"/>
        <v>213110400'= CONTAS A PAGAR CREDORES NACIONAIS305000026631291390000200</v>
      </c>
      <c r="H1027" s="87" t="str">
        <f>VLOOKUP(Tabela1[[#This Row],[CONCATENAR]],'Classificações - Demonstrações'!$A$5:$C$46003,2,)</f>
        <v>Fornecedores</v>
      </c>
      <c r="I1027" s="87"/>
    </row>
    <row r="1028" spans="1:9" ht="12.75" customHeight="1" x14ac:dyDescent="0.2">
      <c r="A1028" s="94" t="s">
        <v>5323</v>
      </c>
      <c r="B1028" s="87" t="s">
        <v>435</v>
      </c>
      <c r="C1028" s="87" t="s">
        <v>6212</v>
      </c>
      <c r="D1028" s="88">
        <v>16750</v>
      </c>
      <c r="E1028" s="89"/>
      <c r="F1028" s="89"/>
      <c r="G1028" s="87" t="str">
        <f t="shared" si="15"/>
        <v>213110400'= CONTAS A PAGAR CREDORES NACIONAIS30933311000174</v>
      </c>
      <c r="H1028" s="87" t="str">
        <f>VLOOKUP(Tabela1[[#This Row],[CONCATENAR]],'Classificações - Demonstrações'!$A$5:$C$46003,2,)</f>
        <v>Fornecedores</v>
      </c>
      <c r="I1028" s="87"/>
    </row>
    <row r="1029" spans="1:9" ht="12.75" customHeight="1" x14ac:dyDescent="0.2">
      <c r="A1029" s="94" t="s">
        <v>5323</v>
      </c>
      <c r="B1029" s="87" t="s">
        <v>435</v>
      </c>
      <c r="C1029" s="87" t="s">
        <v>5804</v>
      </c>
      <c r="D1029" s="88">
        <v>0</v>
      </c>
      <c r="E1029" s="89"/>
      <c r="F1029" s="89"/>
      <c r="G1029" s="87" t="str">
        <f t="shared" ref="G1029:G1092" si="16">CONCATENATE(A1029,B1029,C1029)</f>
        <v>213110400'= CONTAS A PAGAR CREDORES NACIONAIS31291390000200</v>
      </c>
      <c r="H1029" s="87" t="str">
        <f>VLOOKUP(Tabela1[[#This Row],[CONCATENAR]],'Classificações - Demonstrações'!$A$5:$C$46003,2,)</f>
        <v>Fornecedores</v>
      </c>
      <c r="I1029" s="87"/>
    </row>
    <row r="1030" spans="1:9" ht="12.75" customHeight="1" x14ac:dyDescent="0.2">
      <c r="A1030" s="94" t="s">
        <v>5323</v>
      </c>
      <c r="B1030" s="87" t="s">
        <v>435</v>
      </c>
      <c r="C1030" s="87" t="s">
        <v>6213</v>
      </c>
      <c r="D1030" s="88">
        <v>5238</v>
      </c>
      <c r="E1030" s="89"/>
      <c r="F1030" s="89"/>
      <c r="G1030" s="87" t="str">
        <f t="shared" si="16"/>
        <v>213110400'= CONTAS A PAGAR CREDORES NACIONAIS31888692000180</v>
      </c>
      <c r="H1030" s="87" t="str">
        <f>VLOOKUP(Tabela1[[#This Row],[CONCATENAR]],'Classificações - Demonstrações'!$A$5:$C$46003,2,)</f>
        <v>Fornecedores</v>
      </c>
      <c r="I1030" s="87"/>
    </row>
    <row r="1031" spans="1:9" ht="12.75" customHeight="1" x14ac:dyDescent="0.2">
      <c r="A1031" s="94" t="s">
        <v>5323</v>
      </c>
      <c r="B1031" s="87" t="s">
        <v>435</v>
      </c>
      <c r="C1031" s="87" t="s">
        <v>6214</v>
      </c>
      <c r="D1031" s="88">
        <v>8076</v>
      </c>
      <c r="E1031" s="89"/>
      <c r="F1031" s="89"/>
      <c r="G1031" s="87" t="str">
        <f t="shared" si="16"/>
        <v>213110400'= CONTAS A PAGAR CREDORES NACIONAIS31954621000138</v>
      </c>
      <c r="H1031" s="87" t="str">
        <f>VLOOKUP(Tabela1[[#This Row],[CONCATENAR]],'Classificações - Demonstrações'!$A$5:$C$46003,2,)</f>
        <v>Fornecedores</v>
      </c>
      <c r="I1031" s="87"/>
    </row>
    <row r="1032" spans="1:9" ht="12.75" customHeight="1" x14ac:dyDescent="0.2">
      <c r="A1032" s="94" t="s">
        <v>5323</v>
      </c>
      <c r="B1032" s="87" t="s">
        <v>435</v>
      </c>
      <c r="C1032" s="87" t="s">
        <v>546</v>
      </c>
      <c r="D1032" s="88">
        <v>1612.19</v>
      </c>
      <c r="E1032" s="89"/>
      <c r="F1032" s="89"/>
      <c r="G1032" s="87" t="str">
        <f t="shared" si="16"/>
        <v>213110400'= CONTAS A PAGAR CREDORES NACIONAIS32125858000179</v>
      </c>
      <c r="H1032" s="87" t="str">
        <f>VLOOKUP(Tabela1[[#This Row],[CONCATENAR]],'Classificações - Demonstrações'!$A$5:$C$46003,2,)</f>
        <v>Fornecedores</v>
      </c>
      <c r="I1032" s="87"/>
    </row>
    <row r="1033" spans="1:9" ht="12.75" customHeight="1" x14ac:dyDescent="0.2">
      <c r="A1033" s="94" t="s">
        <v>5323</v>
      </c>
      <c r="B1033" s="87" t="s">
        <v>435</v>
      </c>
      <c r="C1033" s="87" t="s">
        <v>6215</v>
      </c>
      <c r="D1033" s="88">
        <v>36612</v>
      </c>
      <c r="E1033" s="89"/>
      <c r="F1033" s="89"/>
      <c r="G1033" s="87" t="str">
        <f t="shared" si="16"/>
        <v>213110400'= CONTAS A PAGAR CREDORES NACIONAIS32168761000143</v>
      </c>
      <c r="H1033" s="87" t="str">
        <f>VLOOKUP(Tabela1[[#This Row],[CONCATENAR]],'Classificações - Demonstrações'!$A$5:$C$46003,2,)</f>
        <v>Fornecedores</v>
      </c>
      <c r="I1033" s="87"/>
    </row>
    <row r="1034" spans="1:9" ht="12.75" customHeight="1" x14ac:dyDescent="0.2">
      <c r="A1034" s="94" t="s">
        <v>5323</v>
      </c>
      <c r="B1034" s="87" t="s">
        <v>435</v>
      </c>
      <c r="C1034" s="87" t="s">
        <v>297</v>
      </c>
      <c r="D1034" s="88">
        <v>155040.35999999999</v>
      </c>
      <c r="E1034" s="89"/>
      <c r="F1034" s="89"/>
      <c r="G1034" s="87" t="str">
        <f t="shared" si="16"/>
        <v>213110400'= CONTAS A PAGAR CREDORES NACIONAIS32185480000875</v>
      </c>
      <c r="H1034" s="87" t="str">
        <f>VLOOKUP(Tabela1[[#This Row],[CONCATENAR]],'Classificações - Demonstrações'!$A$5:$C$46003,2,)</f>
        <v>Fornecedores</v>
      </c>
      <c r="I1034" s="87"/>
    </row>
    <row r="1035" spans="1:9" ht="12.75" customHeight="1" x14ac:dyDescent="0.2">
      <c r="A1035" s="94" t="s">
        <v>5323</v>
      </c>
      <c r="B1035" s="87" t="s">
        <v>435</v>
      </c>
      <c r="C1035" s="87" t="s">
        <v>6216</v>
      </c>
      <c r="D1035" s="88">
        <v>0</v>
      </c>
      <c r="E1035" s="89"/>
      <c r="F1035" s="89"/>
      <c r="G1035" s="87" t="str">
        <f t="shared" si="16"/>
        <v>213110400'= CONTAS A PAGAR CREDORES NACIONAIS32223836000141</v>
      </c>
      <c r="H1035" s="87" t="str">
        <f>VLOOKUP(Tabela1[[#This Row],[CONCATENAR]],'Classificações - Demonstrações'!$A$5:$C$46003,2,)</f>
        <v>Fornecedores</v>
      </c>
      <c r="I1035" s="87"/>
    </row>
    <row r="1036" spans="1:9" ht="12.75" customHeight="1" x14ac:dyDescent="0.2">
      <c r="A1036" s="94" t="s">
        <v>5323</v>
      </c>
      <c r="B1036" s="87" t="s">
        <v>435</v>
      </c>
      <c r="C1036" s="87" t="s">
        <v>6217</v>
      </c>
      <c r="D1036" s="88">
        <v>0</v>
      </c>
      <c r="E1036" s="89"/>
      <c r="F1036" s="89"/>
      <c r="G1036" s="87" t="str">
        <f t="shared" si="16"/>
        <v>213110400'= CONTAS A PAGAR CREDORES NACIONAIS32319258000222</v>
      </c>
      <c r="H1036" s="87" t="str">
        <f>VLOOKUP(Tabela1[[#This Row],[CONCATENAR]],'Classificações - Demonstrações'!$A$5:$C$46003,2,)</f>
        <v>Fornecedores</v>
      </c>
      <c r="I1036" s="87"/>
    </row>
    <row r="1037" spans="1:9" ht="12.75" customHeight="1" x14ac:dyDescent="0.2">
      <c r="A1037" s="94" t="s">
        <v>5323</v>
      </c>
      <c r="B1037" s="87" t="s">
        <v>435</v>
      </c>
      <c r="C1037" s="87" t="s">
        <v>6218</v>
      </c>
      <c r="D1037" s="88">
        <v>0</v>
      </c>
      <c r="E1037" s="89"/>
      <c r="F1037" s="89"/>
      <c r="G1037" s="87" t="str">
        <f t="shared" si="16"/>
        <v>213110400'= CONTAS A PAGAR CREDORES NACIONAIS32485150000129</v>
      </c>
      <c r="H1037" s="87" t="str">
        <f>VLOOKUP(Tabela1[[#This Row],[CONCATENAR]],'Classificações - Demonstrações'!$A$5:$C$46003,2,)</f>
        <v>Fornecedores</v>
      </c>
      <c r="I1037" s="87"/>
    </row>
    <row r="1038" spans="1:9" ht="12.75" customHeight="1" x14ac:dyDescent="0.2">
      <c r="A1038" s="94" t="s">
        <v>5323</v>
      </c>
      <c r="B1038" s="87" t="s">
        <v>435</v>
      </c>
      <c r="C1038" s="87" t="s">
        <v>6219</v>
      </c>
      <c r="D1038" s="88">
        <v>454.54</v>
      </c>
      <c r="E1038" s="89"/>
      <c r="F1038" s="89"/>
      <c r="G1038" s="87" t="str">
        <f t="shared" si="16"/>
        <v>213110400'= CONTAS A PAGAR CREDORES NACIONAIS32492373004615</v>
      </c>
      <c r="H1038" s="87" t="str">
        <f>VLOOKUP(Tabela1[[#This Row],[CONCATENAR]],'Classificações - Demonstrações'!$A$5:$C$46003,2,)</f>
        <v>Fornecedores</v>
      </c>
      <c r="I1038" s="87"/>
    </row>
    <row r="1039" spans="1:9" ht="12.75" customHeight="1" x14ac:dyDescent="0.2">
      <c r="A1039" s="94" t="s">
        <v>5323</v>
      </c>
      <c r="B1039" s="87" t="s">
        <v>435</v>
      </c>
      <c r="C1039" s="87" t="s">
        <v>5558</v>
      </c>
      <c r="D1039" s="88">
        <v>910559.1</v>
      </c>
      <c r="E1039" s="89"/>
      <c r="F1039" s="89"/>
      <c r="G1039" s="87" t="str">
        <f t="shared" si="16"/>
        <v>213110400'= CONTAS A PAGAR CREDORES NACIONAIS32683520000132</v>
      </c>
      <c r="H1039" s="87" t="str">
        <f>VLOOKUP(Tabela1[[#This Row],[CONCATENAR]],'Classificações - Demonstrações'!$A$5:$C$46003,2,)</f>
        <v>Fornecedores</v>
      </c>
      <c r="I1039" s="87"/>
    </row>
    <row r="1040" spans="1:9" ht="12.75" customHeight="1" x14ac:dyDescent="0.2">
      <c r="A1040" s="94" t="s">
        <v>5323</v>
      </c>
      <c r="B1040" s="87" t="s">
        <v>435</v>
      </c>
      <c r="C1040" s="87" t="s">
        <v>6220</v>
      </c>
      <c r="D1040" s="88">
        <v>2390</v>
      </c>
      <c r="E1040" s="89"/>
      <c r="F1040" s="89"/>
      <c r="G1040" s="87" t="str">
        <f t="shared" si="16"/>
        <v>213110400'= CONTAS A PAGAR CREDORES NACIONAIS32865668000198</v>
      </c>
      <c r="H1040" s="87" t="str">
        <f>VLOOKUP(Tabela1[[#This Row],[CONCATENAR]],'Classificações - Demonstrações'!$A$5:$C$46003,2,)</f>
        <v>Fornecedores</v>
      </c>
      <c r="I1040" s="87"/>
    </row>
    <row r="1041" spans="1:9" ht="12.75" customHeight="1" x14ac:dyDescent="0.2">
      <c r="A1041" s="94" t="s">
        <v>5323</v>
      </c>
      <c r="B1041" s="87" t="s">
        <v>435</v>
      </c>
      <c r="C1041" s="87" t="s">
        <v>6221</v>
      </c>
      <c r="D1041" s="88">
        <v>0</v>
      </c>
      <c r="E1041" s="89"/>
      <c r="F1041" s="89"/>
      <c r="G1041" s="87" t="str">
        <f t="shared" si="16"/>
        <v>213110400'= CONTAS A PAGAR CREDORES NACIONAIS32944113000131</v>
      </c>
      <c r="H1041" s="87" t="str">
        <f>VLOOKUP(Tabela1[[#This Row],[CONCATENAR]],'Classificações - Demonstrações'!$A$5:$C$46003,2,)</f>
        <v>Fornecedores</v>
      </c>
      <c r="I1041" s="87"/>
    </row>
    <row r="1042" spans="1:9" ht="12.75" customHeight="1" x14ac:dyDescent="0.2">
      <c r="A1042" s="94" t="s">
        <v>5323</v>
      </c>
      <c r="B1042" s="87" t="s">
        <v>435</v>
      </c>
      <c r="C1042" s="87" t="s">
        <v>6222</v>
      </c>
      <c r="D1042" s="88">
        <v>0</v>
      </c>
      <c r="E1042" s="89"/>
      <c r="F1042" s="89"/>
      <c r="G1042" s="87" t="str">
        <f t="shared" si="16"/>
        <v>213110400'= CONTAS A PAGAR CREDORES NACIONAIS33003194000138</v>
      </c>
      <c r="H1042" s="87" t="str">
        <f>VLOOKUP(Tabela1[[#This Row],[CONCATENAR]],'Classificações - Demonstrações'!$A$5:$C$46003,2,)</f>
        <v>Fornecedores</v>
      </c>
      <c r="I1042" s="87"/>
    </row>
    <row r="1043" spans="1:9" ht="12.75" customHeight="1" x14ac:dyDescent="0.2">
      <c r="A1043" s="94" t="s">
        <v>5323</v>
      </c>
      <c r="B1043" s="87" t="s">
        <v>435</v>
      </c>
      <c r="C1043" s="87" t="s">
        <v>24</v>
      </c>
      <c r="D1043" s="88">
        <v>3604091.67</v>
      </c>
      <c r="E1043" s="89"/>
      <c r="F1043" s="89"/>
      <c r="G1043" s="87" t="str">
        <f t="shared" si="16"/>
        <v>213110400'= CONTAS A PAGAR CREDORES NACIONAIS33220880000160</v>
      </c>
      <c r="H1043" s="87" t="str">
        <f>VLOOKUP(Tabela1[[#This Row],[CONCATENAR]],'Classificações - Demonstrações'!$A$5:$C$46003,2,)</f>
        <v>Fornecedores</v>
      </c>
      <c r="I1043" s="87"/>
    </row>
    <row r="1044" spans="1:9" ht="12.75" customHeight="1" x14ac:dyDescent="0.2">
      <c r="A1044" s="94" t="s">
        <v>5323</v>
      </c>
      <c r="B1044" s="87" t="s">
        <v>435</v>
      </c>
      <c r="C1044" s="87" t="s">
        <v>6223</v>
      </c>
      <c r="D1044" s="88">
        <v>75125.899999999994</v>
      </c>
      <c r="E1044" s="89"/>
      <c r="F1044" s="89"/>
      <c r="G1044" s="87" t="str">
        <f t="shared" si="16"/>
        <v>213110400'= CONTAS A PAGAR CREDORES NACIONAIS33318780000171</v>
      </c>
      <c r="H1044" s="87" t="str">
        <f>VLOOKUP(Tabela1[[#This Row],[CONCATENAR]],'Classificações - Demonstrações'!$A$5:$C$46003,2,)</f>
        <v>Fornecedores</v>
      </c>
      <c r="I1044" s="87"/>
    </row>
    <row r="1045" spans="1:9" ht="12.75" customHeight="1" x14ac:dyDescent="0.2">
      <c r="A1045" s="94" t="s">
        <v>5323</v>
      </c>
      <c r="B1045" s="87" t="s">
        <v>435</v>
      </c>
      <c r="C1045" s="87" t="s">
        <v>298</v>
      </c>
      <c r="D1045" s="88">
        <v>0</v>
      </c>
      <c r="E1045" s="89"/>
      <c r="F1045" s="89"/>
      <c r="G1045" s="87" t="str">
        <f t="shared" si="16"/>
        <v>213110400'= CONTAS A PAGAR CREDORES NACIONAIS33345683000178</v>
      </c>
      <c r="H1045" s="87" t="str">
        <f>VLOOKUP(Tabela1[[#This Row],[CONCATENAR]],'Classificações - Demonstrações'!$A$5:$C$46003,2,)</f>
        <v>Fornecedores</v>
      </c>
      <c r="I1045" s="87"/>
    </row>
    <row r="1046" spans="1:9" ht="12.75" customHeight="1" x14ac:dyDescent="0.2">
      <c r="A1046" s="94" t="s">
        <v>5323</v>
      </c>
      <c r="B1046" s="87" t="s">
        <v>435</v>
      </c>
      <c r="C1046" s="87" t="s">
        <v>6224</v>
      </c>
      <c r="D1046" s="88">
        <v>1140</v>
      </c>
      <c r="E1046" s="89"/>
      <c r="F1046" s="89"/>
      <c r="G1046" s="87" t="str">
        <f t="shared" si="16"/>
        <v>213110400'= CONTAS A PAGAR CREDORES NACIONAIS33534751000147</v>
      </c>
      <c r="H1046" s="87" t="str">
        <f>VLOOKUP(Tabela1[[#This Row],[CONCATENAR]],'Classificações - Demonstrações'!$A$5:$C$46003,2,)</f>
        <v>Fornecedores</v>
      </c>
      <c r="I1046" s="87"/>
    </row>
    <row r="1047" spans="1:9" ht="12.75" customHeight="1" x14ac:dyDescent="0.2">
      <c r="A1047" s="94" t="s">
        <v>5323</v>
      </c>
      <c r="B1047" s="87" t="s">
        <v>435</v>
      </c>
      <c r="C1047" s="87" t="s">
        <v>6225</v>
      </c>
      <c r="D1047" s="88">
        <v>94200</v>
      </c>
      <c r="E1047" s="89"/>
      <c r="F1047" s="89"/>
      <c r="G1047" s="87" t="str">
        <f t="shared" si="16"/>
        <v>213110400'= CONTAS A PAGAR CREDORES NACIONAIS33575585000127</v>
      </c>
      <c r="H1047" s="87" t="str">
        <f>VLOOKUP(Tabela1[[#This Row],[CONCATENAR]],'Classificações - Demonstrações'!$A$5:$C$46003,2,)</f>
        <v>Fornecedores</v>
      </c>
      <c r="I1047" s="87"/>
    </row>
    <row r="1048" spans="1:9" ht="12.75" customHeight="1" x14ac:dyDescent="0.2">
      <c r="A1048" s="94" t="s">
        <v>5323</v>
      </c>
      <c r="B1048" s="87" t="s">
        <v>435</v>
      </c>
      <c r="C1048" s="87" t="s">
        <v>6226</v>
      </c>
      <c r="D1048" s="88">
        <v>0</v>
      </c>
      <c r="E1048" s="89"/>
      <c r="F1048" s="89"/>
      <c r="G1048" s="87" t="str">
        <f t="shared" si="16"/>
        <v>213110400'= CONTAS A PAGAR CREDORES NACIONAIS33641663000144</v>
      </c>
      <c r="H1048" s="87" t="str">
        <f>VLOOKUP(Tabela1[[#This Row],[CONCATENAR]],'Classificações - Demonstrações'!$A$5:$C$46003,2,)</f>
        <v>Fornecedores</v>
      </c>
      <c r="I1048" s="87"/>
    </row>
    <row r="1049" spans="1:9" ht="12.75" customHeight="1" x14ac:dyDescent="0.2">
      <c r="A1049" s="94" t="s">
        <v>5323</v>
      </c>
      <c r="B1049" s="87" t="s">
        <v>435</v>
      </c>
      <c r="C1049" s="87" t="s">
        <v>6227</v>
      </c>
      <c r="D1049" s="88">
        <v>0</v>
      </c>
      <c r="E1049" s="89"/>
      <c r="F1049" s="89"/>
      <c r="G1049" s="87" t="str">
        <f t="shared" si="16"/>
        <v>213110400'= CONTAS A PAGAR CREDORES NACIONAIS33746475000180</v>
      </c>
      <c r="H1049" s="87" t="str">
        <f>VLOOKUP(Tabela1[[#This Row],[CONCATENAR]],'Classificações - Demonstrações'!$A$5:$C$46003,2,)</f>
        <v>Fornecedores</v>
      </c>
      <c r="I1049" s="87"/>
    </row>
    <row r="1050" spans="1:9" ht="12.75" customHeight="1" x14ac:dyDescent="0.2">
      <c r="A1050" s="94" t="s">
        <v>5323</v>
      </c>
      <c r="B1050" s="87" t="s">
        <v>435</v>
      </c>
      <c r="C1050" s="87" t="s">
        <v>6228</v>
      </c>
      <c r="D1050" s="88">
        <v>575.89</v>
      </c>
      <c r="E1050" s="89"/>
      <c r="F1050" s="89"/>
      <c r="G1050" s="87" t="str">
        <f t="shared" si="16"/>
        <v>213110400'= CONTAS A PAGAR CREDORES NACIONAIS34028316000294</v>
      </c>
      <c r="H1050" s="87" t="str">
        <f>VLOOKUP(Tabela1[[#This Row],[CONCATENAR]],'Classificações - Demonstrações'!$A$5:$C$46003,2,)</f>
        <v>Fornecedores</v>
      </c>
      <c r="I1050" s="87"/>
    </row>
    <row r="1051" spans="1:9" ht="12.75" customHeight="1" x14ac:dyDescent="0.2">
      <c r="A1051" s="94" t="s">
        <v>5323</v>
      </c>
      <c r="B1051" s="87" t="s">
        <v>435</v>
      </c>
      <c r="C1051" s="87" t="s">
        <v>6229</v>
      </c>
      <c r="D1051" s="88">
        <v>3694</v>
      </c>
      <c r="E1051" s="89"/>
      <c r="F1051" s="89"/>
      <c r="G1051" s="87" t="str">
        <f t="shared" si="16"/>
        <v>213110400'= CONTAS A PAGAR CREDORES NACIONAIS34210457000223</v>
      </c>
      <c r="H1051" s="87" t="str">
        <f>VLOOKUP(Tabela1[[#This Row],[CONCATENAR]],'Classificações - Demonstrações'!$A$5:$C$46003,2,)</f>
        <v>Fornecedores</v>
      </c>
      <c r="I1051" s="87"/>
    </row>
    <row r="1052" spans="1:9" ht="12.75" customHeight="1" x14ac:dyDescent="0.2">
      <c r="A1052" s="94" t="s">
        <v>5323</v>
      </c>
      <c r="B1052" s="87" t="s">
        <v>435</v>
      </c>
      <c r="C1052" s="87" t="s">
        <v>6230</v>
      </c>
      <c r="D1052" s="88">
        <v>0</v>
      </c>
      <c r="E1052" s="89"/>
      <c r="F1052" s="89"/>
      <c r="G1052" s="87" t="str">
        <f t="shared" si="16"/>
        <v>213110400'= CONTAS A PAGAR CREDORES NACIONAIS34260596000180</v>
      </c>
      <c r="H1052" s="87" t="str">
        <f>VLOOKUP(Tabela1[[#This Row],[CONCATENAR]],'Classificações - Demonstrações'!$A$5:$C$46003,2,)</f>
        <v>Fornecedores</v>
      </c>
      <c r="I1052" s="87"/>
    </row>
    <row r="1053" spans="1:9" ht="12.75" customHeight="1" x14ac:dyDescent="0.2">
      <c r="A1053" s="94" t="s">
        <v>5323</v>
      </c>
      <c r="B1053" s="87" t="s">
        <v>435</v>
      </c>
      <c r="C1053" s="87" t="s">
        <v>6231</v>
      </c>
      <c r="D1053" s="88">
        <v>14588.33</v>
      </c>
      <c r="E1053" s="89"/>
      <c r="F1053" s="89"/>
      <c r="G1053" s="87" t="str">
        <f t="shared" si="16"/>
        <v>213110400'= CONTAS A PAGAR CREDORES NACIONAIS35137403000161</v>
      </c>
      <c r="H1053" s="87" t="str">
        <f>VLOOKUP(Tabela1[[#This Row],[CONCATENAR]],'Classificações - Demonstrações'!$A$5:$C$46003,2,)</f>
        <v>Fornecedores</v>
      </c>
      <c r="I1053" s="87"/>
    </row>
    <row r="1054" spans="1:9" ht="12.75" customHeight="1" x14ac:dyDescent="0.2">
      <c r="A1054" s="94" t="s">
        <v>5323</v>
      </c>
      <c r="B1054" s="87" t="s">
        <v>435</v>
      </c>
      <c r="C1054" s="87" t="s">
        <v>6232</v>
      </c>
      <c r="D1054" s="88">
        <v>25000</v>
      </c>
      <c r="E1054" s="89"/>
      <c r="F1054" s="89"/>
      <c r="G1054" s="87" t="str">
        <f t="shared" si="16"/>
        <v>213110400'= CONTAS A PAGAR CREDORES NACIONAIS36026560000162</v>
      </c>
      <c r="H1054" s="87" t="str">
        <f>VLOOKUP(Tabela1[[#This Row],[CONCATENAR]],'Classificações - Demonstrações'!$A$5:$C$46003,2,)</f>
        <v>Fornecedores</v>
      </c>
      <c r="I1054" s="87"/>
    </row>
    <row r="1055" spans="1:9" ht="12.75" customHeight="1" x14ac:dyDescent="0.2">
      <c r="A1055" s="94" t="s">
        <v>5323</v>
      </c>
      <c r="B1055" s="87" t="s">
        <v>435</v>
      </c>
      <c r="C1055" s="87" t="s">
        <v>6233</v>
      </c>
      <c r="D1055" s="88">
        <v>385</v>
      </c>
      <c r="E1055" s="89"/>
      <c r="F1055" s="89"/>
      <c r="G1055" s="87" t="str">
        <f t="shared" si="16"/>
        <v>213110400'= CONTAS A PAGAR CREDORES NACIONAIS36241685000105</v>
      </c>
      <c r="H1055" s="87" t="str">
        <f>VLOOKUP(Tabela1[[#This Row],[CONCATENAR]],'Classificações - Demonstrações'!$A$5:$C$46003,2,)</f>
        <v>Fornecedores</v>
      </c>
      <c r="I1055" s="87"/>
    </row>
    <row r="1056" spans="1:9" ht="12.75" customHeight="1" x14ac:dyDescent="0.2">
      <c r="A1056" s="94" t="s">
        <v>5323</v>
      </c>
      <c r="B1056" s="87" t="s">
        <v>435</v>
      </c>
      <c r="C1056" s="87" t="s">
        <v>6234</v>
      </c>
      <c r="D1056" s="88">
        <v>0</v>
      </c>
      <c r="E1056" s="89"/>
      <c r="F1056" s="89"/>
      <c r="G1056" s="87" t="str">
        <f t="shared" si="16"/>
        <v>213110400'= CONTAS A PAGAR CREDORES NACIONAIS37032250000113</v>
      </c>
      <c r="H1056" s="87" t="str">
        <f>VLOOKUP(Tabela1[[#This Row],[CONCATENAR]],'Classificações - Demonstrações'!$A$5:$C$46003,2,)</f>
        <v>Fornecedores</v>
      </c>
      <c r="I1056" s="87"/>
    </row>
    <row r="1057" spans="1:9" ht="12.75" customHeight="1" x14ac:dyDescent="0.2">
      <c r="A1057" s="94" t="s">
        <v>5323</v>
      </c>
      <c r="B1057" s="87" t="s">
        <v>435</v>
      </c>
      <c r="C1057" s="87" t="s">
        <v>6235</v>
      </c>
      <c r="D1057" s="88">
        <v>274</v>
      </c>
      <c r="E1057" s="89"/>
      <c r="F1057" s="89"/>
      <c r="G1057" s="87" t="str">
        <f t="shared" si="16"/>
        <v>213110400'= CONTAS A PAGAR CREDORES NACIONAIS37611578000194</v>
      </c>
      <c r="H1057" s="87" t="str">
        <f>VLOOKUP(Tabela1[[#This Row],[CONCATENAR]],'Classificações - Demonstrações'!$A$5:$C$46003,2,)</f>
        <v>Fornecedores</v>
      </c>
      <c r="I1057" s="87"/>
    </row>
    <row r="1058" spans="1:9" ht="12.75" customHeight="1" x14ac:dyDescent="0.2">
      <c r="A1058" s="94" t="s">
        <v>5323</v>
      </c>
      <c r="B1058" s="87" t="s">
        <v>435</v>
      </c>
      <c r="C1058" s="87" t="s">
        <v>6236</v>
      </c>
      <c r="D1058" s="88">
        <v>23641.21</v>
      </c>
      <c r="E1058" s="89"/>
      <c r="F1058" s="89"/>
      <c r="G1058" s="87" t="str">
        <f t="shared" si="16"/>
        <v>213110400'= CONTAS A PAGAR CREDORES NACIONAIS38503861000165</v>
      </c>
      <c r="H1058" s="87" t="str">
        <f>VLOOKUP(Tabela1[[#This Row],[CONCATENAR]],'Classificações - Demonstrações'!$A$5:$C$46003,2,)</f>
        <v>Fornecedores</v>
      </c>
      <c r="I1058" s="87"/>
    </row>
    <row r="1059" spans="1:9" ht="12.75" customHeight="1" x14ac:dyDescent="0.2">
      <c r="A1059" s="94" t="s">
        <v>5323</v>
      </c>
      <c r="B1059" s="87" t="s">
        <v>435</v>
      </c>
      <c r="C1059" s="87" t="s">
        <v>6237</v>
      </c>
      <c r="D1059" s="88">
        <v>4838.8599999999997</v>
      </c>
      <c r="E1059" s="89"/>
      <c r="F1059" s="89"/>
      <c r="G1059" s="87" t="str">
        <f t="shared" si="16"/>
        <v>213110400'= CONTAS A PAGAR CREDORES NACIONAIS39162235000115</v>
      </c>
      <c r="H1059" s="87" t="str">
        <f>VLOOKUP(Tabela1[[#This Row],[CONCATENAR]],'Classificações - Demonstrações'!$A$5:$C$46003,2,)</f>
        <v>Fornecedores</v>
      </c>
      <c r="I1059" s="87"/>
    </row>
    <row r="1060" spans="1:9" ht="12.75" customHeight="1" x14ac:dyDescent="0.2">
      <c r="A1060" s="94" t="s">
        <v>5323</v>
      </c>
      <c r="B1060" s="87" t="s">
        <v>435</v>
      </c>
      <c r="C1060" s="87" t="s">
        <v>6238</v>
      </c>
      <c r="D1060" s="88">
        <v>0</v>
      </c>
      <c r="E1060" s="89"/>
      <c r="F1060" s="89"/>
      <c r="G1060" s="87" t="str">
        <f t="shared" si="16"/>
        <v>213110400'= CONTAS A PAGAR CREDORES NACIONAIS39545634000165</v>
      </c>
      <c r="H1060" s="87" t="str">
        <f>VLOOKUP(Tabela1[[#This Row],[CONCATENAR]],'Classificações - Demonstrações'!$A$5:$C$46003,2,)</f>
        <v>Fornecedores</v>
      </c>
      <c r="I1060" s="87"/>
    </row>
    <row r="1061" spans="1:9" ht="12.75" customHeight="1" x14ac:dyDescent="0.2">
      <c r="A1061" s="94" t="s">
        <v>5323</v>
      </c>
      <c r="B1061" s="87" t="s">
        <v>435</v>
      </c>
      <c r="C1061" s="87" t="s">
        <v>6239</v>
      </c>
      <c r="D1061" s="88">
        <v>0</v>
      </c>
      <c r="E1061" s="89"/>
      <c r="F1061" s="89"/>
      <c r="G1061" s="87" t="str">
        <f t="shared" si="16"/>
        <v>213110400'= CONTAS A PAGAR CREDORES NACIONAIS39685747000166</v>
      </c>
      <c r="H1061" s="87" t="str">
        <f>VLOOKUP(Tabela1[[#This Row],[CONCATENAR]],'Classificações - Demonstrações'!$A$5:$C$46003,2,)</f>
        <v>Fornecedores</v>
      </c>
      <c r="I1061" s="87"/>
    </row>
    <row r="1062" spans="1:9" ht="12.75" customHeight="1" x14ac:dyDescent="0.2">
      <c r="A1062" s="94" t="s">
        <v>5323</v>
      </c>
      <c r="B1062" s="87" t="s">
        <v>435</v>
      </c>
      <c r="C1062" s="87" t="s">
        <v>6240</v>
      </c>
      <c r="D1062" s="88">
        <v>0</v>
      </c>
      <c r="E1062" s="89"/>
      <c r="F1062" s="89"/>
      <c r="G1062" s="87" t="str">
        <f t="shared" si="16"/>
        <v>213110400'= CONTAS A PAGAR CREDORES NACIONAIS40178030000107</v>
      </c>
      <c r="H1062" s="87" t="str">
        <f>VLOOKUP(Tabela1[[#This Row],[CONCATENAR]],'Classificações - Demonstrações'!$A$5:$C$46003,2,)</f>
        <v>Fornecedores</v>
      </c>
      <c r="I1062" s="87"/>
    </row>
    <row r="1063" spans="1:9" ht="12.75" customHeight="1" x14ac:dyDescent="0.2">
      <c r="A1063" s="94" t="s">
        <v>5323</v>
      </c>
      <c r="B1063" s="87" t="s">
        <v>435</v>
      </c>
      <c r="C1063" s="87" t="s">
        <v>6241</v>
      </c>
      <c r="D1063" s="88">
        <v>33506.9</v>
      </c>
      <c r="E1063" s="89"/>
      <c r="F1063" s="89"/>
      <c r="G1063" s="87" t="str">
        <f t="shared" si="16"/>
        <v>213110400'= CONTAS A PAGAR CREDORES NACIONAIS40263170000850</v>
      </c>
      <c r="H1063" s="87" t="str">
        <f>VLOOKUP(Tabela1[[#This Row],[CONCATENAR]],'Classificações - Demonstrações'!$A$5:$C$46003,2,)</f>
        <v>Fornecedores</v>
      </c>
      <c r="I1063" s="87"/>
    </row>
    <row r="1064" spans="1:9" ht="12.75" customHeight="1" x14ac:dyDescent="0.2">
      <c r="A1064" s="94" t="s">
        <v>5323</v>
      </c>
      <c r="B1064" s="87" t="s">
        <v>435</v>
      </c>
      <c r="C1064" s="87" t="s">
        <v>547</v>
      </c>
      <c r="D1064" s="88">
        <v>4015.64</v>
      </c>
      <c r="E1064" s="89"/>
      <c r="F1064" s="89"/>
      <c r="G1064" s="87" t="str">
        <f t="shared" si="16"/>
        <v>213110400'= CONTAS A PAGAR CREDORES NACIONAIS40282584000150</v>
      </c>
      <c r="H1064" s="87" t="str">
        <f>VLOOKUP(Tabela1[[#This Row],[CONCATENAR]],'Classificações - Demonstrações'!$A$5:$C$46003,2,)</f>
        <v>Fornecedores</v>
      </c>
      <c r="I1064" s="87"/>
    </row>
    <row r="1065" spans="1:9" ht="12.75" customHeight="1" x14ac:dyDescent="0.2">
      <c r="A1065" s="94" t="s">
        <v>5323</v>
      </c>
      <c r="B1065" s="87" t="s">
        <v>435</v>
      </c>
      <c r="C1065" s="87" t="s">
        <v>6242</v>
      </c>
      <c r="D1065" s="88">
        <v>0</v>
      </c>
      <c r="E1065" s="89"/>
      <c r="F1065" s="89"/>
      <c r="G1065" s="87" t="str">
        <f t="shared" si="16"/>
        <v>213110400'= CONTAS A PAGAR CREDORES NACIONAIS40395162000190</v>
      </c>
      <c r="H1065" s="87" t="str">
        <f>VLOOKUP(Tabela1[[#This Row],[CONCATENAR]],'Classificações - Demonstrações'!$A$5:$C$46003,2,)</f>
        <v>Fornecedores</v>
      </c>
      <c r="I1065" s="87"/>
    </row>
    <row r="1066" spans="1:9" ht="12.75" customHeight="1" x14ac:dyDescent="0.2">
      <c r="A1066" s="94" t="s">
        <v>5323</v>
      </c>
      <c r="B1066" s="87" t="s">
        <v>435</v>
      </c>
      <c r="C1066" s="87" t="s">
        <v>6243</v>
      </c>
      <c r="D1066" s="88">
        <v>0</v>
      </c>
      <c r="E1066" s="89"/>
      <c r="F1066" s="89"/>
      <c r="G1066" s="87" t="str">
        <f t="shared" si="16"/>
        <v>213110400'= CONTAS A PAGAR CREDORES NACIONAIS42270058000103</v>
      </c>
      <c r="H1066" s="87" t="str">
        <f>VLOOKUP(Tabela1[[#This Row],[CONCATENAR]],'Classificações - Demonstrações'!$A$5:$C$46003,2,)</f>
        <v>Fornecedores</v>
      </c>
      <c r="I1066" s="87"/>
    </row>
    <row r="1067" spans="1:9" ht="12.75" customHeight="1" x14ac:dyDescent="0.2">
      <c r="A1067" s="94" t="s">
        <v>5323</v>
      </c>
      <c r="B1067" s="87" t="s">
        <v>435</v>
      </c>
      <c r="C1067" s="87" t="s">
        <v>6244</v>
      </c>
      <c r="D1067" s="88">
        <v>7397.66</v>
      </c>
      <c r="E1067" s="89"/>
      <c r="F1067" s="89"/>
      <c r="G1067" s="87" t="str">
        <f t="shared" si="16"/>
        <v>213110400'= CONTAS A PAGAR CREDORES NACIONAIS42277434000183</v>
      </c>
      <c r="H1067" s="87" t="str">
        <f>VLOOKUP(Tabela1[[#This Row],[CONCATENAR]],'Classificações - Demonstrações'!$A$5:$C$46003,2,)</f>
        <v>Fornecedores</v>
      </c>
      <c r="I1067" s="87"/>
    </row>
    <row r="1068" spans="1:9" ht="12.75" customHeight="1" x14ac:dyDescent="0.2">
      <c r="A1068" s="94" t="s">
        <v>5323</v>
      </c>
      <c r="B1068" s="87" t="s">
        <v>435</v>
      </c>
      <c r="C1068" s="87" t="s">
        <v>5805</v>
      </c>
      <c r="D1068" s="88">
        <v>198051.19</v>
      </c>
      <c r="E1068" s="89"/>
      <c r="F1068" s="89"/>
      <c r="G1068" s="87" t="str">
        <f t="shared" si="16"/>
        <v>213110400'= CONTAS A PAGAR CREDORES NACIONAIS42292007000174</v>
      </c>
      <c r="H1068" s="87" t="str">
        <f>VLOOKUP(Tabela1[[#This Row],[CONCATENAR]],'Classificações - Demonstrações'!$A$5:$C$46003,2,)</f>
        <v>Fornecedores</v>
      </c>
      <c r="I1068" s="87"/>
    </row>
    <row r="1069" spans="1:9" ht="12.75" customHeight="1" x14ac:dyDescent="0.2">
      <c r="A1069" s="94" t="s">
        <v>5323</v>
      </c>
      <c r="B1069" s="87" t="s">
        <v>435</v>
      </c>
      <c r="C1069" s="87" t="s">
        <v>6245</v>
      </c>
      <c r="D1069" s="88">
        <v>0</v>
      </c>
      <c r="E1069" s="89"/>
      <c r="F1069" s="89"/>
      <c r="G1069" s="87" t="str">
        <f t="shared" si="16"/>
        <v>213110400'= CONTAS A PAGAR CREDORES NACIONAIS42366302000128</v>
      </c>
      <c r="H1069" s="87" t="str">
        <f>VLOOKUP(Tabela1[[#This Row],[CONCATENAR]],'Classificações - Demonstrações'!$A$5:$C$46003,2,)</f>
        <v>Fornecedores</v>
      </c>
      <c r="I1069" s="87"/>
    </row>
    <row r="1070" spans="1:9" ht="12.75" customHeight="1" x14ac:dyDescent="0.2">
      <c r="A1070" s="94" t="s">
        <v>5323</v>
      </c>
      <c r="B1070" s="87" t="s">
        <v>435</v>
      </c>
      <c r="C1070" s="87" t="s">
        <v>6246</v>
      </c>
      <c r="D1070" s="88">
        <v>9318</v>
      </c>
      <c r="E1070" s="89"/>
      <c r="F1070" s="89"/>
      <c r="G1070" s="87" t="str">
        <f t="shared" si="16"/>
        <v>213110400'= CONTAS A PAGAR CREDORES NACIONAIS43093948000141</v>
      </c>
      <c r="H1070" s="87" t="str">
        <f>VLOOKUP(Tabela1[[#This Row],[CONCATENAR]],'Classificações - Demonstrações'!$A$5:$C$46003,2,)</f>
        <v>Fornecedores</v>
      </c>
      <c r="I1070" s="87"/>
    </row>
    <row r="1071" spans="1:9" ht="12.75" customHeight="1" x14ac:dyDescent="0.2">
      <c r="A1071" s="94" t="s">
        <v>5323</v>
      </c>
      <c r="B1071" s="87" t="s">
        <v>435</v>
      </c>
      <c r="C1071" s="87" t="s">
        <v>5806</v>
      </c>
      <c r="D1071" s="88">
        <v>2639.59</v>
      </c>
      <c r="E1071" s="89"/>
      <c r="F1071" s="89"/>
      <c r="G1071" s="87" t="str">
        <f t="shared" si="16"/>
        <v>213110400'= CONTAS A PAGAR CREDORES NACIONAIS43197792000220</v>
      </c>
      <c r="H1071" s="87" t="str">
        <f>VLOOKUP(Tabela1[[#This Row],[CONCATENAR]],'Classificações - Demonstrações'!$A$5:$C$46003,2,)</f>
        <v>Fornecedores</v>
      </c>
      <c r="I1071" s="87"/>
    </row>
    <row r="1072" spans="1:9" ht="12.75" customHeight="1" x14ac:dyDescent="0.2">
      <c r="A1072" s="94" t="s">
        <v>5323</v>
      </c>
      <c r="B1072" s="87" t="s">
        <v>435</v>
      </c>
      <c r="C1072" s="87" t="s">
        <v>6247</v>
      </c>
      <c r="D1072" s="88">
        <v>34560.14</v>
      </c>
      <c r="E1072" s="89"/>
      <c r="F1072" s="89"/>
      <c r="G1072" s="87" t="str">
        <f t="shared" si="16"/>
        <v>213110400'= CONTAS A PAGAR CREDORES NACIONAIS43843358000512</v>
      </c>
      <c r="H1072" s="87" t="str">
        <f>VLOOKUP(Tabela1[[#This Row],[CONCATENAR]],'Classificações - Demonstrações'!$A$5:$C$46003,2,)</f>
        <v>Fornecedores</v>
      </c>
      <c r="I1072" s="87"/>
    </row>
    <row r="1073" spans="1:9" ht="12.75" customHeight="1" x14ac:dyDescent="0.2">
      <c r="A1073" s="94" t="s">
        <v>5323</v>
      </c>
      <c r="B1073" s="87" t="s">
        <v>435</v>
      </c>
      <c r="C1073" s="87" t="s">
        <v>6248</v>
      </c>
      <c r="D1073" s="88">
        <v>0</v>
      </c>
      <c r="E1073" s="89"/>
      <c r="F1073" s="89"/>
      <c r="G1073" s="87" t="str">
        <f t="shared" si="16"/>
        <v>213110400'= CONTAS A PAGAR CREDORES NACIONAIS43854777000126</v>
      </c>
      <c r="H1073" s="87" t="str">
        <f>VLOOKUP(Tabela1[[#This Row],[CONCATENAR]],'Classificações - Demonstrações'!$A$5:$C$46003,2,)</f>
        <v>Fornecedores</v>
      </c>
      <c r="I1073" s="87"/>
    </row>
    <row r="1074" spans="1:9" ht="12.75" customHeight="1" x14ac:dyDescent="0.2">
      <c r="A1074" s="94" t="s">
        <v>5323</v>
      </c>
      <c r="B1074" s="87" t="s">
        <v>435</v>
      </c>
      <c r="C1074" s="87" t="s">
        <v>6249</v>
      </c>
      <c r="D1074" s="88">
        <v>25932.77</v>
      </c>
      <c r="E1074" s="89"/>
      <c r="F1074" s="89"/>
      <c r="G1074" s="87" t="str">
        <f t="shared" si="16"/>
        <v>213110400'= CONTAS A PAGAR CREDORES NACIONAIS43919968000986</v>
      </c>
      <c r="H1074" s="87" t="str">
        <f>VLOOKUP(Tabela1[[#This Row],[CONCATENAR]],'Classificações - Demonstrações'!$A$5:$C$46003,2,)</f>
        <v>Fornecedores</v>
      </c>
      <c r="I1074" s="87"/>
    </row>
    <row r="1075" spans="1:9" ht="12.75" customHeight="1" x14ac:dyDescent="0.2">
      <c r="A1075" s="94" t="s">
        <v>5323</v>
      </c>
      <c r="B1075" s="87" t="s">
        <v>435</v>
      </c>
      <c r="C1075" s="87" t="s">
        <v>6250</v>
      </c>
      <c r="D1075" s="88">
        <v>0</v>
      </c>
      <c r="E1075" s="89"/>
      <c r="F1075" s="89"/>
      <c r="G1075" s="87" t="str">
        <f t="shared" si="16"/>
        <v>213110400'= CONTAS A PAGAR CREDORES NACIONAIS44073971000137</v>
      </c>
      <c r="H1075" s="87" t="str">
        <f>VLOOKUP(Tabela1[[#This Row],[CONCATENAR]],'Classificações - Demonstrações'!$A$5:$C$46003,2,)</f>
        <v>Fornecedores</v>
      </c>
      <c r="I1075" s="87"/>
    </row>
    <row r="1076" spans="1:9" ht="12.75" customHeight="1" x14ac:dyDescent="0.2">
      <c r="A1076" s="94" t="s">
        <v>5323</v>
      </c>
      <c r="B1076" s="87" t="s">
        <v>435</v>
      </c>
      <c r="C1076" s="87" t="s">
        <v>6251</v>
      </c>
      <c r="D1076" s="88">
        <v>1993.59</v>
      </c>
      <c r="E1076" s="89"/>
      <c r="F1076" s="89"/>
      <c r="G1076" s="87" t="str">
        <f t="shared" si="16"/>
        <v>213110400'= CONTAS A PAGAR CREDORES NACIONAIS44273977000158</v>
      </c>
      <c r="H1076" s="87" t="str">
        <f>VLOOKUP(Tabela1[[#This Row],[CONCATENAR]],'Classificações - Demonstrações'!$A$5:$C$46003,2,)</f>
        <v>Fornecedores</v>
      </c>
      <c r="I1076" s="87"/>
    </row>
    <row r="1077" spans="1:9" ht="12.75" customHeight="1" x14ac:dyDescent="0.2">
      <c r="A1077" s="94" t="s">
        <v>5323</v>
      </c>
      <c r="B1077" s="87" t="s">
        <v>435</v>
      </c>
      <c r="C1077" s="87" t="s">
        <v>5678</v>
      </c>
      <c r="D1077" s="88">
        <v>493841.2</v>
      </c>
      <c r="E1077" s="89"/>
      <c r="F1077" s="89"/>
      <c r="G1077" s="87" t="str">
        <f t="shared" si="16"/>
        <v>213110400'= CONTAS A PAGAR CREDORES NACIONAIS44417768000130</v>
      </c>
      <c r="H1077" s="87" t="str">
        <f>VLOOKUP(Tabela1[[#This Row],[CONCATENAR]],'Classificações - Demonstrações'!$A$5:$C$46003,2,)</f>
        <v>Fornecedores</v>
      </c>
      <c r="I1077" s="87"/>
    </row>
    <row r="1078" spans="1:9" ht="12.75" customHeight="1" x14ac:dyDescent="0.2">
      <c r="A1078" s="94" t="s">
        <v>5323</v>
      </c>
      <c r="B1078" s="87" t="s">
        <v>435</v>
      </c>
      <c r="C1078" s="87" t="s">
        <v>6252</v>
      </c>
      <c r="D1078" s="88">
        <v>0</v>
      </c>
      <c r="E1078" s="89"/>
      <c r="F1078" s="89"/>
      <c r="G1078" s="87" t="str">
        <f t="shared" si="16"/>
        <v>213110400'= CONTAS A PAGAR CREDORES NACIONAIS44825501000263</v>
      </c>
      <c r="H1078" s="87" t="str">
        <f>VLOOKUP(Tabela1[[#This Row],[CONCATENAR]],'Classificações - Demonstrações'!$A$5:$C$46003,2,)</f>
        <v>Fornecedores</v>
      </c>
      <c r="I1078" s="87"/>
    </row>
    <row r="1079" spans="1:9" ht="12.75" customHeight="1" x14ac:dyDescent="0.2">
      <c r="A1079" s="94" t="s">
        <v>5323</v>
      </c>
      <c r="B1079" s="87" t="s">
        <v>435</v>
      </c>
      <c r="C1079" s="87" t="s">
        <v>6253</v>
      </c>
      <c r="D1079" s="88">
        <v>0</v>
      </c>
      <c r="E1079" s="89"/>
      <c r="F1079" s="89"/>
      <c r="G1079" s="87" t="str">
        <f t="shared" si="16"/>
        <v>213110400'= CONTAS A PAGAR CREDORES NACIONAIS45769285000168</v>
      </c>
      <c r="H1079" s="87" t="str">
        <f>VLOOKUP(Tabela1[[#This Row],[CONCATENAR]],'Classificações - Demonstrações'!$A$5:$C$46003,2,)</f>
        <v>Fornecedores</v>
      </c>
      <c r="I1079" s="87"/>
    </row>
    <row r="1080" spans="1:9" ht="12.75" customHeight="1" x14ac:dyDescent="0.2">
      <c r="A1080" s="94" t="s">
        <v>5323</v>
      </c>
      <c r="B1080" s="87" t="s">
        <v>435</v>
      </c>
      <c r="C1080" s="87" t="s">
        <v>6254</v>
      </c>
      <c r="D1080" s="88">
        <v>-14625</v>
      </c>
      <c r="E1080" s="89"/>
      <c r="F1080" s="89"/>
      <c r="G1080" s="87" t="str">
        <f t="shared" si="16"/>
        <v>213110400'= CONTAS A PAGAR CREDORES NACIONAIS45872579000110</v>
      </c>
      <c r="H1080" s="87" t="str">
        <f>VLOOKUP(Tabela1[[#This Row],[CONCATENAR]],'Classificações - Demonstrações'!$A$5:$C$46003,2,)</f>
        <v>Fornecedores</v>
      </c>
      <c r="I1080" s="87"/>
    </row>
    <row r="1081" spans="1:9" ht="12.75" customHeight="1" x14ac:dyDescent="0.2">
      <c r="A1081" s="94" t="s">
        <v>5323</v>
      </c>
      <c r="B1081" s="87" t="s">
        <v>435</v>
      </c>
      <c r="C1081" s="87" t="s">
        <v>5807</v>
      </c>
      <c r="D1081" s="88">
        <v>34612.6</v>
      </c>
      <c r="E1081" s="89"/>
      <c r="F1081" s="89"/>
      <c r="G1081" s="87" t="str">
        <f t="shared" si="16"/>
        <v>213110400'= CONTAS A PAGAR CREDORES NACIONAIS46044053004607</v>
      </c>
      <c r="H1081" s="87" t="str">
        <f>VLOOKUP(Tabela1[[#This Row],[CONCATENAR]],'Classificações - Demonstrações'!$A$5:$C$46003,2,)</f>
        <v>Fornecedores</v>
      </c>
      <c r="I1081" s="87"/>
    </row>
    <row r="1082" spans="1:9" ht="12.75" customHeight="1" x14ac:dyDescent="0.2">
      <c r="A1082" s="94" t="s">
        <v>5323</v>
      </c>
      <c r="B1082" s="87" t="s">
        <v>435</v>
      </c>
      <c r="C1082" s="87" t="s">
        <v>6255</v>
      </c>
      <c r="D1082" s="88">
        <v>110000</v>
      </c>
      <c r="E1082" s="89"/>
      <c r="F1082" s="89"/>
      <c r="G1082" s="87" t="str">
        <f t="shared" si="16"/>
        <v>213110400'= CONTAS A PAGAR CREDORES NACIONAIS46359865000140</v>
      </c>
      <c r="H1082" s="87" t="str">
        <f>VLOOKUP(Tabela1[[#This Row],[CONCATENAR]],'Classificações - Demonstrações'!$A$5:$C$46003,2,)</f>
        <v>Fornecedores</v>
      </c>
      <c r="I1082" s="87"/>
    </row>
    <row r="1083" spans="1:9" ht="12.75" customHeight="1" x14ac:dyDescent="0.2">
      <c r="A1083" s="94" t="s">
        <v>5323</v>
      </c>
      <c r="B1083" s="87" t="s">
        <v>435</v>
      </c>
      <c r="C1083" s="87" t="s">
        <v>6256</v>
      </c>
      <c r="D1083" s="88">
        <v>3750.02</v>
      </c>
      <c r="E1083" s="89"/>
      <c r="F1083" s="89"/>
      <c r="G1083" s="87" t="str">
        <f t="shared" si="16"/>
        <v>213110400'= CONTAS A PAGAR CREDORES NACIONAIS46390209000100</v>
      </c>
      <c r="H1083" s="87" t="str">
        <f>VLOOKUP(Tabela1[[#This Row],[CONCATENAR]],'Classificações - Demonstrações'!$A$5:$C$46003,2,)</f>
        <v>Fornecedores</v>
      </c>
      <c r="I1083" s="87"/>
    </row>
    <row r="1084" spans="1:9" ht="12.75" customHeight="1" x14ac:dyDescent="0.2">
      <c r="A1084" s="94" t="s">
        <v>5323</v>
      </c>
      <c r="B1084" s="87" t="s">
        <v>435</v>
      </c>
      <c r="C1084" s="87" t="s">
        <v>6257</v>
      </c>
      <c r="D1084" s="88">
        <v>9800</v>
      </c>
      <c r="E1084" s="89"/>
      <c r="F1084" s="89"/>
      <c r="G1084" s="87" t="str">
        <f t="shared" si="16"/>
        <v>213110400'= CONTAS A PAGAR CREDORES NACIONAIS47968764000139</v>
      </c>
      <c r="H1084" s="87" t="str">
        <f>VLOOKUP(Tabela1[[#This Row],[CONCATENAR]],'Classificações - Demonstrações'!$A$5:$C$46003,2,)</f>
        <v>Fornecedores</v>
      </c>
      <c r="I1084" s="87"/>
    </row>
    <row r="1085" spans="1:9" ht="12.75" customHeight="1" x14ac:dyDescent="0.2">
      <c r="A1085" s="94" t="s">
        <v>5323</v>
      </c>
      <c r="B1085" s="87" t="s">
        <v>435</v>
      </c>
      <c r="C1085" s="87" t="s">
        <v>6258</v>
      </c>
      <c r="D1085" s="88">
        <v>0</v>
      </c>
      <c r="E1085" s="89"/>
      <c r="F1085" s="89"/>
      <c r="G1085" s="87" t="str">
        <f t="shared" si="16"/>
        <v>213110400'= CONTAS A PAGAR CREDORES NACIONAIS48011287000181</v>
      </c>
      <c r="H1085" s="87" t="str">
        <f>VLOOKUP(Tabela1[[#This Row],[CONCATENAR]],'Classificações - Demonstrações'!$A$5:$C$46003,2,)</f>
        <v>Fornecedores</v>
      </c>
      <c r="I1085" s="87"/>
    </row>
    <row r="1086" spans="1:9" ht="12.75" customHeight="1" x14ac:dyDescent="0.2">
      <c r="A1086" s="94" t="s">
        <v>5323</v>
      </c>
      <c r="B1086" s="87" t="s">
        <v>435</v>
      </c>
      <c r="C1086" s="87" t="s">
        <v>6259</v>
      </c>
      <c r="D1086" s="88">
        <v>0</v>
      </c>
      <c r="E1086" s="89"/>
      <c r="F1086" s="89"/>
      <c r="G1086" s="87" t="str">
        <f t="shared" si="16"/>
        <v>213110400'= CONTAS A PAGAR CREDORES NACIONAIS48151779000172</v>
      </c>
      <c r="H1086" s="87" t="str">
        <f>VLOOKUP(Tabela1[[#This Row],[CONCATENAR]],'Classificações - Demonstrações'!$A$5:$C$46003,2,)</f>
        <v>Fornecedores</v>
      </c>
      <c r="I1086" s="87"/>
    </row>
    <row r="1087" spans="1:9" ht="12.75" customHeight="1" x14ac:dyDescent="0.2">
      <c r="A1087" s="94" t="s">
        <v>5323</v>
      </c>
      <c r="B1087" s="87" t="s">
        <v>435</v>
      </c>
      <c r="C1087" s="87" t="s">
        <v>6260</v>
      </c>
      <c r="D1087" s="88">
        <v>23800</v>
      </c>
      <c r="E1087" s="89"/>
      <c r="F1087" s="89"/>
      <c r="G1087" s="87" t="str">
        <f t="shared" si="16"/>
        <v>213110400'= CONTAS A PAGAR CREDORES NACIONAIS48480995000161</v>
      </c>
      <c r="H1087" s="87" t="str">
        <f>VLOOKUP(Tabela1[[#This Row],[CONCATENAR]],'Classificações - Demonstrações'!$A$5:$C$46003,2,)</f>
        <v>Fornecedores</v>
      </c>
      <c r="I1087" s="87"/>
    </row>
    <row r="1088" spans="1:9" ht="12.75" customHeight="1" x14ac:dyDescent="0.2">
      <c r="A1088" s="94" t="s">
        <v>5323</v>
      </c>
      <c r="B1088" s="87" t="s">
        <v>435</v>
      </c>
      <c r="C1088" s="87" t="s">
        <v>6261</v>
      </c>
      <c r="D1088" s="88">
        <v>63144</v>
      </c>
      <c r="E1088" s="89"/>
      <c r="F1088" s="89"/>
      <c r="G1088" s="87" t="str">
        <f t="shared" si="16"/>
        <v>213110400'= CONTAS A PAGAR CREDORES NACIONAIS50889102000188</v>
      </c>
      <c r="H1088" s="87" t="str">
        <f>VLOOKUP(Tabela1[[#This Row],[CONCATENAR]],'Classificações - Demonstrações'!$A$5:$C$46003,2,)</f>
        <v>Fornecedores</v>
      </c>
      <c r="I1088" s="87"/>
    </row>
    <row r="1089" spans="1:9" ht="12.75" customHeight="1" x14ac:dyDescent="0.2">
      <c r="A1089" s="94" t="s">
        <v>5323</v>
      </c>
      <c r="B1089" s="87" t="s">
        <v>435</v>
      </c>
      <c r="C1089" s="87" t="s">
        <v>6262</v>
      </c>
      <c r="D1089" s="88">
        <v>0</v>
      </c>
      <c r="E1089" s="89"/>
      <c r="F1089" s="89"/>
      <c r="G1089" s="87" t="str">
        <f t="shared" si="16"/>
        <v>213110400'= CONTAS A PAGAR CREDORES NACIONAIS50892934000153</v>
      </c>
      <c r="H1089" s="87" t="str">
        <f>VLOOKUP(Tabela1[[#This Row],[CONCATENAR]],'Classificações - Demonstrações'!$A$5:$C$46003,2,)</f>
        <v>Fornecedores</v>
      </c>
      <c r="I1089" s="87"/>
    </row>
    <row r="1090" spans="1:9" ht="12.75" customHeight="1" x14ac:dyDescent="0.2">
      <c r="A1090" s="94" t="s">
        <v>5323</v>
      </c>
      <c r="B1090" s="87" t="s">
        <v>435</v>
      </c>
      <c r="C1090" s="87" t="s">
        <v>6263</v>
      </c>
      <c r="D1090" s="88">
        <v>0</v>
      </c>
      <c r="E1090" s="89"/>
      <c r="F1090" s="89"/>
      <c r="G1090" s="87" t="str">
        <f t="shared" si="16"/>
        <v>213110400'= CONTAS A PAGAR CREDORES NACIONAIS51733129000140</v>
      </c>
      <c r="H1090" s="87" t="str">
        <f>VLOOKUP(Tabela1[[#This Row],[CONCATENAR]],'Classificações - Demonstrações'!$A$5:$C$46003,2,)</f>
        <v>Fornecedores</v>
      </c>
      <c r="I1090" s="87"/>
    </row>
    <row r="1091" spans="1:9" ht="12.75" customHeight="1" x14ac:dyDescent="0.2">
      <c r="A1091" s="94" t="s">
        <v>5323</v>
      </c>
      <c r="B1091" s="87" t="s">
        <v>435</v>
      </c>
      <c r="C1091" s="87" t="s">
        <v>6264</v>
      </c>
      <c r="D1091" s="88">
        <v>0</v>
      </c>
      <c r="E1091" s="89"/>
      <c r="F1091" s="89"/>
      <c r="G1091" s="87" t="str">
        <f t="shared" si="16"/>
        <v>213110400'= CONTAS A PAGAR CREDORES NACIONAIS54550030000109</v>
      </c>
      <c r="H1091" s="87" t="str">
        <f>VLOOKUP(Tabela1[[#This Row],[CONCATENAR]],'Classificações - Demonstrações'!$A$5:$C$46003,2,)</f>
        <v>Fornecedores</v>
      </c>
      <c r="I1091" s="87"/>
    </row>
    <row r="1092" spans="1:9" ht="12.75" customHeight="1" x14ac:dyDescent="0.2">
      <c r="A1092" s="94" t="s">
        <v>5323</v>
      </c>
      <c r="B1092" s="87" t="s">
        <v>435</v>
      </c>
      <c r="C1092" s="87" t="s">
        <v>6265</v>
      </c>
      <c r="D1092" s="88">
        <v>0</v>
      </c>
      <c r="E1092" s="89"/>
      <c r="F1092" s="89"/>
      <c r="G1092" s="87" t="str">
        <f t="shared" si="16"/>
        <v>213110400'= CONTAS A PAGAR CREDORES NACIONAIS54642543000131</v>
      </c>
      <c r="H1092" s="87" t="str">
        <f>VLOOKUP(Tabela1[[#This Row],[CONCATENAR]],'Classificações - Demonstrações'!$A$5:$C$46003,2,)</f>
        <v>Fornecedores</v>
      </c>
      <c r="I1092" s="87"/>
    </row>
    <row r="1093" spans="1:9" ht="12.75" customHeight="1" x14ac:dyDescent="0.2">
      <c r="A1093" s="94" t="s">
        <v>5323</v>
      </c>
      <c r="B1093" s="87" t="s">
        <v>435</v>
      </c>
      <c r="C1093" s="87" t="s">
        <v>6266</v>
      </c>
      <c r="D1093" s="88">
        <v>3164.24</v>
      </c>
      <c r="E1093" s="89"/>
      <c r="F1093" s="89"/>
      <c r="G1093" s="87" t="str">
        <f t="shared" ref="G1093:G1156" si="17">CONCATENATE(A1093,B1093,C1093)</f>
        <v>213110400'= CONTAS A PAGAR CREDORES NACIONAIS55616429000108</v>
      </c>
      <c r="H1093" s="87" t="str">
        <f>VLOOKUP(Tabela1[[#This Row],[CONCATENAR]],'Classificações - Demonstrações'!$A$5:$C$46003,2,)</f>
        <v>Fornecedores</v>
      </c>
      <c r="I1093" s="87"/>
    </row>
    <row r="1094" spans="1:9" ht="12.75" customHeight="1" x14ac:dyDescent="0.2">
      <c r="A1094" s="94" t="s">
        <v>5323</v>
      </c>
      <c r="B1094" s="87" t="s">
        <v>435</v>
      </c>
      <c r="C1094" s="87" t="s">
        <v>6267</v>
      </c>
      <c r="D1094" s="88">
        <v>0</v>
      </c>
      <c r="E1094" s="89"/>
      <c r="F1094" s="89"/>
      <c r="G1094" s="87" t="str">
        <f t="shared" si="17"/>
        <v>213110400'= CONTAS A PAGAR CREDORES NACIONAIS57055352000161</v>
      </c>
      <c r="H1094" s="87" t="str">
        <f>VLOOKUP(Tabela1[[#This Row],[CONCATENAR]],'Classificações - Demonstrações'!$A$5:$C$46003,2,)</f>
        <v>Fornecedores</v>
      </c>
      <c r="I1094" s="87"/>
    </row>
    <row r="1095" spans="1:9" ht="12.75" customHeight="1" x14ac:dyDescent="0.2">
      <c r="A1095" s="94" t="s">
        <v>5323</v>
      </c>
      <c r="B1095" s="87" t="s">
        <v>435</v>
      </c>
      <c r="C1095" s="87" t="s">
        <v>5679</v>
      </c>
      <c r="D1095" s="88">
        <v>770082.24</v>
      </c>
      <c r="E1095" s="89"/>
      <c r="F1095" s="89"/>
      <c r="G1095" s="87" t="str">
        <f t="shared" si="17"/>
        <v>213110400'= CONTAS A PAGAR CREDORES NACIONAIS57910325000129</v>
      </c>
      <c r="H1095" s="87" t="str">
        <f>VLOOKUP(Tabela1[[#This Row],[CONCATENAR]],'Classificações - Demonstrações'!$A$5:$C$46003,2,)</f>
        <v>Fornecedores</v>
      </c>
      <c r="I1095" s="87"/>
    </row>
    <row r="1096" spans="1:9" ht="12.75" customHeight="1" x14ac:dyDescent="0.2">
      <c r="A1096" s="94" t="s">
        <v>5323</v>
      </c>
      <c r="B1096" s="87" t="s">
        <v>435</v>
      </c>
      <c r="C1096" s="87" t="s">
        <v>6268</v>
      </c>
      <c r="D1096" s="88">
        <v>0</v>
      </c>
      <c r="E1096" s="89"/>
      <c r="F1096" s="89"/>
      <c r="G1096" s="87" t="str">
        <f t="shared" si="17"/>
        <v>213110400'= CONTAS A PAGAR CREDORES NACIONAIS59618207000177</v>
      </c>
      <c r="H1096" s="87" t="str">
        <f>VLOOKUP(Tabela1[[#This Row],[CONCATENAR]],'Classificações - Demonstrações'!$A$5:$C$46003,2,)</f>
        <v>Fornecedores</v>
      </c>
      <c r="I1096" s="87"/>
    </row>
    <row r="1097" spans="1:9" ht="12.75" customHeight="1" x14ac:dyDescent="0.2">
      <c r="A1097" s="94" t="s">
        <v>5323</v>
      </c>
      <c r="B1097" s="87" t="s">
        <v>435</v>
      </c>
      <c r="C1097" s="87" t="s">
        <v>6269</v>
      </c>
      <c r="D1097" s="88">
        <v>0</v>
      </c>
      <c r="E1097" s="89"/>
      <c r="F1097" s="89"/>
      <c r="G1097" s="87" t="str">
        <f t="shared" si="17"/>
        <v>213110400'= CONTAS A PAGAR CREDORES NACIONAIS59750141000174</v>
      </c>
      <c r="H1097" s="87" t="str">
        <f>VLOOKUP(Tabela1[[#This Row],[CONCATENAR]],'Classificações - Demonstrações'!$A$5:$C$46003,2,)</f>
        <v>Fornecedores</v>
      </c>
      <c r="I1097" s="87"/>
    </row>
    <row r="1098" spans="1:9" ht="12.75" customHeight="1" x14ac:dyDescent="0.2">
      <c r="A1098" s="94" t="s">
        <v>5323</v>
      </c>
      <c r="B1098" s="87" t="s">
        <v>435</v>
      </c>
      <c r="C1098" s="87" t="s">
        <v>6270</v>
      </c>
      <c r="D1098" s="88">
        <v>45395</v>
      </c>
      <c r="E1098" s="89"/>
      <c r="F1098" s="89"/>
      <c r="G1098" s="87" t="str">
        <f t="shared" si="17"/>
        <v>213110400'= CONTAS A PAGAR CREDORES NACIONAIS60039401000187</v>
      </c>
      <c r="H1098" s="87" t="str">
        <f>VLOOKUP(Tabela1[[#This Row],[CONCATENAR]],'Classificações - Demonstrações'!$A$5:$C$46003,2,)</f>
        <v>Fornecedores</v>
      </c>
      <c r="I1098" s="87"/>
    </row>
    <row r="1099" spans="1:9" ht="12.75" customHeight="1" x14ac:dyDescent="0.2">
      <c r="A1099" s="94" t="s">
        <v>5323</v>
      </c>
      <c r="B1099" s="87" t="s">
        <v>435</v>
      </c>
      <c r="C1099" s="87" t="s">
        <v>300</v>
      </c>
      <c r="D1099" s="88">
        <v>637871.34</v>
      </c>
      <c r="E1099" s="89"/>
      <c r="F1099" s="89"/>
      <c r="G1099" s="87" t="str">
        <f t="shared" si="17"/>
        <v>213110400'= CONTAS A PAGAR CREDORES NACIONAIS60444437000146</v>
      </c>
      <c r="H1099" s="87" t="str">
        <f>VLOOKUP(Tabela1[[#This Row],[CONCATENAR]],'Classificações - Demonstrações'!$A$5:$C$46003,2,)</f>
        <v>Fornecedores</v>
      </c>
      <c r="I1099" s="87"/>
    </row>
    <row r="1100" spans="1:9" ht="12.75" customHeight="1" x14ac:dyDescent="0.2">
      <c r="A1100" s="94" t="s">
        <v>5323</v>
      </c>
      <c r="B1100" s="87" t="s">
        <v>435</v>
      </c>
      <c r="C1100" s="87" t="s">
        <v>6271</v>
      </c>
      <c r="D1100" s="88">
        <v>0</v>
      </c>
      <c r="E1100" s="89"/>
      <c r="F1100" s="89"/>
      <c r="G1100" s="87" t="str">
        <f t="shared" si="17"/>
        <v>213110400'= CONTAS A PAGAR CREDORES NACIONAIS60613478000119</v>
      </c>
      <c r="H1100" s="87" t="str">
        <f>VLOOKUP(Tabela1[[#This Row],[CONCATENAR]],'Classificações - Demonstrações'!$A$5:$C$46003,2,)</f>
        <v>Fornecedores</v>
      </c>
      <c r="I1100" s="87"/>
    </row>
    <row r="1101" spans="1:9" ht="12.75" customHeight="1" x14ac:dyDescent="0.2">
      <c r="A1101" s="94" t="s">
        <v>5323</v>
      </c>
      <c r="B1101" s="87" t="s">
        <v>435</v>
      </c>
      <c r="C1101" s="87" t="s">
        <v>301</v>
      </c>
      <c r="D1101" s="88">
        <v>0</v>
      </c>
      <c r="E1101" s="89"/>
      <c r="F1101" s="89"/>
      <c r="G1101" s="87" t="str">
        <f t="shared" si="17"/>
        <v>213110400'= CONTAS A PAGAR CREDORES NACIONAIS60633674000155</v>
      </c>
      <c r="H1101" s="87" t="str">
        <f>VLOOKUP(Tabela1[[#This Row],[CONCATENAR]],'Classificações - Demonstrações'!$A$5:$C$46003,2,)</f>
        <v>Fornecedores</v>
      </c>
      <c r="I1101" s="87"/>
    </row>
    <row r="1102" spans="1:9" ht="12.75" customHeight="1" x14ac:dyDescent="0.2">
      <c r="A1102" s="94" t="s">
        <v>5323</v>
      </c>
      <c r="B1102" s="87" t="s">
        <v>435</v>
      </c>
      <c r="C1102" s="87" t="s">
        <v>6272</v>
      </c>
      <c r="D1102" s="88">
        <v>0</v>
      </c>
      <c r="E1102" s="89"/>
      <c r="F1102" s="89"/>
      <c r="G1102" s="87" t="str">
        <f t="shared" si="17"/>
        <v>213110400'= CONTAS A PAGAR CREDORES NACIONAIS60985017000177</v>
      </c>
      <c r="H1102" s="87" t="str">
        <f>VLOOKUP(Tabela1[[#This Row],[CONCATENAR]],'Classificações - Demonstrações'!$A$5:$C$46003,2,)</f>
        <v>Fornecedores</v>
      </c>
      <c r="I1102" s="87"/>
    </row>
    <row r="1103" spans="1:9" ht="12.75" customHeight="1" x14ac:dyDescent="0.2">
      <c r="A1103" s="94" t="s">
        <v>5323</v>
      </c>
      <c r="B1103" s="87" t="s">
        <v>435</v>
      </c>
      <c r="C1103" s="87" t="s">
        <v>6273</v>
      </c>
      <c r="D1103" s="88">
        <v>0</v>
      </c>
      <c r="E1103" s="89"/>
      <c r="F1103" s="89"/>
      <c r="G1103" s="87" t="str">
        <f t="shared" si="17"/>
        <v>213110400'= CONTAS A PAGAR CREDORES NACIONAIS61067906000118</v>
      </c>
      <c r="H1103" s="87" t="str">
        <f>VLOOKUP(Tabela1[[#This Row],[CONCATENAR]],'Classificações - Demonstrações'!$A$5:$C$46003,2,)</f>
        <v>Fornecedores</v>
      </c>
      <c r="I1103" s="87"/>
    </row>
    <row r="1104" spans="1:9" ht="12.75" customHeight="1" x14ac:dyDescent="0.2">
      <c r="A1104" s="94" t="s">
        <v>5323</v>
      </c>
      <c r="B1104" s="87" t="s">
        <v>435</v>
      </c>
      <c r="C1104" s="87" t="s">
        <v>302</v>
      </c>
      <c r="D1104" s="88">
        <v>32054.79</v>
      </c>
      <c r="E1104" s="89"/>
      <c r="F1104" s="89"/>
      <c r="G1104" s="87" t="str">
        <f t="shared" si="17"/>
        <v>213110400'= CONTAS A PAGAR CREDORES NACIONAIS61074175000138</v>
      </c>
      <c r="H1104" s="87" t="str">
        <f>VLOOKUP(Tabela1[[#This Row],[CONCATENAR]],'Classificações - Demonstrações'!$A$5:$C$46003,2,)</f>
        <v>Fornecedores</v>
      </c>
      <c r="I1104" s="87"/>
    </row>
    <row r="1105" spans="1:9" ht="12.75" customHeight="1" x14ac:dyDescent="0.2">
      <c r="A1105" s="94" t="s">
        <v>5323</v>
      </c>
      <c r="B1105" s="87" t="s">
        <v>435</v>
      </c>
      <c r="C1105" s="87" t="s">
        <v>6274</v>
      </c>
      <c r="D1105" s="88">
        <v>0</v>
      </c>
      <c r="E1105" s="89"/>
      <c r="F1105" s="89"/>
      <c r="G1105" s="87" t="str">
        <f t="shared" si="17"/>
        <v>213110400'= CONTAS A PAGAR CREDORES NACIONAIS62238043000167</v>
      </c>
      <c r="H1105" s="87" t="str">
        <f>VLOOKUP(Tabela1[[#This Row],[CONCATENAR]],'Classificações - Demonstrações'!$A$5:$C$46003,2,)</f>
        <v>Fornecedores</v>
      </c>
      <c r="I1105" s="87"/>
    </row>
    <row r="1106" spans="1:9" ht="12.75" customHeight="1" x14ac:dyDescent="0.2">
      <c r="A1106" s="94" t="s">
        <v>5323</v>
      </c>
      <c r="B1106" s="87" t="s">
        <v>435</v>
      </c>
      <c r="C1106" s="87" t="s">
        <v>548</v>
      </c>
      <c r="D1106" s="88">
        <v>328079.43</v>
      </c>
      <c r="E1106" s="89"/>
      <c r="F1106" s="89"/>
      <c r="G1106" s="87" t="str">
        <f t="shared" si="17"/>
        <v>213110400'= CONTAS A PAGAR CREDORES NACIONAIS62458088002867</v>
      </c>
      <c r="H1106" s="87" t="str">
        <f>VLOOKUP(Tabela1[[#This Row],[CONCATENAR]],'Classificações - Demonstrações'!$A$5:$C$46003,2,)</f>
        <v>Fornecedores</v>
      </c>
      <c r="I1106" s="87"/>
    </row>
    <row r="1107" spans="1:9" ht="12.75" customHeight="1" x14ac:dyDescent="0.2">
      <c r="A1107" s="94" t="s">
        <v>5323</v>
      </c>
      <c r="B1107" s="87" t="s">
        <v>435</v>
      </c>
      <c r="C1107" s="87" t="s">
        <v>6275</v>
      </c>
      <c r="D1107" s="88">
        <v>3410</v>
      </c>
      <c r="E1107" s="89"/>
      <c r="F1107" s="89"/>
      <c r="G1107" s="87" t="str">
        <f t="shared" si="17"/>
        <v>213110400'= CONTAS A PAGAR CREDORES NACIONAIS62460290000103</v>
      </c>
      <c r="H1107" s="87" t="str">
        <f>VLOOKUP(Tabela1[[#This Row],[CONCATENAR]],'Classificações - Demonstrações'!$A$5:$C$46003,2,)</f>
        <v>Fornecedores</v>
      </c>
      <c r="I1107" s="87"/>
    </row>
    <row r="1108" spans="1:9" ht="12.75" customHeight="1" x14ac:dyDescent="0.2">
      <c r="A1108" s="94" t="s">
        <v>5323</v>
      </c>
      <c r="B1108" s="87" t="s">
        <v>435</v>
      </c>
      <c r="C1108" s="87" t="s">
        <v>6276</v>
      </c>
      <c r="D1108" s="88">
        <v>2265.5100000000002</v>
      </c>
      <c r="E1108" s="89"/>
      <c r="F1108" s="89"/>
      <c r="G1108" s="87" t="str">
        <f t="shared" si="17"/>
        <v>213110400'= CONTAS A PAGAR CREDORES NACIONAIS62462676000154</v>
      </c>
      <c r="H1108" s="87" t="str">
        <f>VLOOKUP(Tabela1[[#This Row],[CONCATENAR]],'Classificações - Demonstrações'!$A$5:$C$46003,2,)</f>
        <v>Fornecedores</v>
      </c>
      <c r="I1108" s="87"/>
    </row>
    <row r="1109" spans="1:9" ht="12.75" customHeight="1" x14ac:dyDescent="0.2">
      <c r="A1109" s="94" t="s">
        <v>5323</v>
      </c>
      <c r="B1109" s="87" t="s">
        <v>435</v>
      </c>
      <c r="C1109" s="87" t="s">
        <v>6277</v>
      </c>
      <c r="D1109" s="88">
        <v>0</v>
      </c>
      <c r="E1109" s="89"/>
      <c r="F1109" s="89"/>
      <c r="G1109" s="87" t="str">
        <f t="shared" si="17"/>
        <v>213110400'= CONTAS A PAGAR CREDORES NACIONAIS62954987000130</v>
      </c>
      <c r="H1109" s="87" t="str">
        <f>VLOOKUP(Tabela1[[#This Row],[CONCATENAR]],'Classificações - Demonstrações'!$A$5:$C$46003,2,)</f>
        <v>Fornecedores</v>
      </c>
      <c r="I1109" s="87"/>
    </row>
    <row r="1110" spans="1:9" ht="12.75" customHeight="1" x14ac:dyDescent="0.2">
      <c r="A1110" s="94" t="s">
        <v>5323</v>
      </c>
      <c r="B1110" s="87" t="s">
        <v>435</v>
      </c>
      <c r="C1110" s="87" t="s">
        <v>6278</v>
      </c>
      <c r="D1110" s="88">
        <v>0</v>
      </c>
      <c r="E1110" s="89"/>
      <c r="F1110" s="89"/>
      <c r="G1110" s="87" t="str">
        <f t="shared" si="17"/>
        <v>213110400'= CONTAS A PAGAR CREDORES NACIONAIS65789117000141</v>
      </c>
      <c r="H1110" s="87" t="str">
        <f>VLOOKUP(Tabela1[[#This Row],[CONCATENAR]],'Classificações - Demonstrações'!$A$5:$C$46003,2,)</f>
        <v>Fornecedores</v>
      </c>
      <c r="I1110" s="87"/>
    </row>
    <row r="1111" spans="1:9" ht="12.75" customHeight="1" x14ac:dyDescent="0.2">
      <c r="A1111" s="94" t="s">
        <v>5323</v>
      </c>
      <c r="B1111" s="87" t="s">
        <v>435</v>
      </c>
      <c r="C1111" s="87" t="s">
        <v>310</v>
      </c>
      <c r="D1111" s="88">
        <v>10738</v>
      </c>
      <c r="E1111" s="89"/>
      <c r="F1111" s="89"/>
      <c r="G1111" s="87" t="str">
        <f t="shared" si="17"/>
        <v>213110400'= CONTAS A PAGAR CREDORES NACIONAIS66018441000129</v>
      </c>
      <c r="H1111" s="87" t="str">
        <f>VLOOKUP(Tabela1[[#This Row],[CONCATENAR]],'Classificações - Demonstrações'!$A$5:$C$46003,2,)</f>
        <v>Fornecedores</v>
      </c>
      <c r="I1111" s="87"/>
    </row>
    <row r="1112" spans="1:9" ht="12.75" customHeight="1" x14ac:dyDescent="0.2">
      <c r="A1112" s="94" t="s">
        <v>5323</v>
      </c>
      <c r="B1112" s="87" t="s">
        <v>435</v>
      </c>
      <c r="C1112" s="87" t="s">
        <v>6279</v>
      </c>
      <c r="D1112" s="88">
        <v>12741.6</v>
      </c>
      <c r="E1112" s="89"/>
      <c r="F1112" s="89"/>
      <c r="G1112" s="87" t="str">
        <f t="shared" si="17"/>
        <v>213110400'= CONTAS A PAGAR CREDORES NACIONAIS67423152000178</v>
      </c>
      <c r="H1112" s="87" t="str">
        <f>VLOOKUP(Tabela1[[#This Row],[CONCATENAR]],'Classificações - Demonstrações'!$A$5:$C$46003,2,)</f>
        <v>Fornecedores</v>
      </c>
      <c r="I1112" s="87"/>
    </row>
    <row r="1113" spans="1:9" ht="12.75" customHeight="1" x14ac:dyDescent="0.2">
      <c r="A1113" s="94" t="s">
        <v>5323</v>
      </c>
      <c r="B1113" s="87" t="s">
        <v>435</v>
      </c>
      <c r="C1113" s="87" t="s">
        <v>6280</v>
      </c>
      <c r="D1113" s="88">
        <v>0</v>
      </c>
      <c r="E1113" s="89"/>
      <c r="F1113" s="89"/>
      <c r="G1113" s="87" t="str">
        <f t="shared" si="17"/>
        <v>213110400'= CONTAS A PAGAR CREDORES NACIONAIS68976844000106</v>
      </c>
      <c r="H1113" s="87" t="str">
        <f>VLOOKUP(Tabela1[[#This Row],[CONCATENAR]],'Classificações - Demonstrações'!$A$5:$C$46003,2,)</f>
        <v>Fornecedores</v>
      </c>
      <c r="I1113" s="87"/>
    </row>
    <row r="1114" spans="1:9" ht="12.75" customHeight="1" x14ac:dyDescent="0.2">
      <c r="A1114" s="94" t="s">
        <v>5323</v>
      </c>
      <c r="B1114" s="87" t="s">
        <v>435</v>
      </c>
      <c r="C1114" s="87" t="s">
        <v>549</v>
      </c>
      <c r="D1114" s="88">
        <v>21599.99</v>
      </c>
      <c r="E1114" s="89"/>
      <c r="F1114" s="89"/>
      <c r="G1114" s="87" t="str">
        <f t="shared" si="17"/>
        <v>213110400'= CONTAS A PAGAR CREDORES NACIONAIS69275337000108</v>
      </c>
      <c r="H1114" s="87" t="str">
        <f>VLOOKUP(Tabela1[[#This Row],[CONCATENAR]],'Classificações - Demonstrações'!$A$5:$C$46003,2,)</f>
        <v>Fornecedores</v>
      </c>
      <c r="I1114" s="87"/>
    </row>
    <row r="1115" spans="1:9" ht="12.75" customHeight="1" x14ac:dyDescent="0.2">
      <c r="A1115" s="94" t="s">
        <v>5323</v>
      </c>
      <c r="B1115" s="87" t="s">
        <v>435</v>
      </c>
      <c r="C1115" s="87" t="s">
        <v>6281</v>
      </c>
      <c r="D1115" s="88">
        <v>0</v>
      </c>
      <c r="E1115" s="89"/>
      <c r="F1115" s="89"/>
      <c r="G1115" s="87" t="str">
        <f t="shared" si="17"/>
        <v>213110400'= CONTAS A PAGAR CREDORES NACIONAIS71208516000174</v>
      </c>
      <c r="H1115" s="87" t="str">
        <f>VLOOKUP(Tabela1[[#This Row],[CONCATENAR]],'Classificações - Demonstrações'!$A$5:$C$46003,2,)</f>
        <v>Fornecedores</v>
      </c>
      <c r="I1115" s="87"/>
    </row>
    <row r="1116" spans="1:9" ht="12.75" customHeight="1" x14ac:dyDescent="0.2">
      <c r="A1116" s="94" t="s">
        <v>5323</v>
      </c>
      <c r="B1116" s="87" t="s">
        <v>435</v>
      </c>
      <c r="C1116" s="87" t="s">
        <v>6282</v>
      </c>
      <c r="D1116" s="88">
        <v>3400</v>
      </c>
      <c r="E1116" s="89"/>
      <c r="F1116" s="89"/>
      <c r="G1116" s="87" t="str">
        <f t="shared" si="17"/>
        <v>213110400'= CONTAS A PAGAR CREDORES NACIONAIS71208516017140</v>
      </c>
      <c r="H1116" s="87" t="str">
        <f>VLOOKUP(Tabela1[[#This Row],[CONCATENAR]],'Classificações - Demonstrações'!$A$5:$C$46003,2,)</f>
        <v>Fornecedores</v>
      </c>
      <c r="I1116" s="87"/>
    </row>
    <row r="1117" spans="1:9" ht="12.75" customHeight="1" x14ac:dyDescent="0.2">
      <c r="A1117" s="94" t="s">
        <v>5323</v>
      </c>
      <c r="B1117" s="87" t="s">
        <v>435</v>
      </c>
      <c r="C1117" s="87" t="s">
        <v>6283</v>
      </c>
      <c r="D1117" s="88">
        <v>16530</v>
      </c>
      <c r="E1117" s="89"/>
      <c r="F1117" s="89"/>
      <c r="G1117" s="87" t="str">
        <f t="shared" si="17"/>
        <v>213110400'= CONTAS A PAGAR CREDORES NACIONAIS72368012000184</v>
      </c>
      <c r="H1117" s="87" t="str">
        <f>VLOOKUP(Tabela1[[#This Row],[CONCATENAR]],'Classificações - Demonstrações'!$A$5:$C$46003,2,)</f>
        <v>Fornecedores</v>
      </c>
      <c r="I1117" s="87"/>
    </row>
    <row r="1118" spans="1:9" ht="12.75" customHeight="1" x14ac:dyDescent="0.2">
      <c r="A1118" s="94" t="s">
        <v>5323</v>
      </c>
      <c r="B1118" s="87" t="s">
        <v>435</v>
      </c>
      <c r="C1118" s="87" t="s">
        <v>6284</v>
      </c>
      <c r="D1118" s="88">
        <v>86140</v>
      </c>
      <c r="E1118" s="89"/>
      <c r="F1118" s="89"/>
      <c r="G1118" s="87" t="str">
        <f t="shared" si="17"/>
        <v>213110400'= CONTAS A PAGAR CREDORES NACIONAIS77024644000225</v>
      </c>
      <c r="H1118" s="87" t="str">
        <f>VLOOKUP(Tabela1[[#This Row],[CONCATENAR]],'Classificações - Demonstrações'!$A$5:$C$46003,2,)</f>
        <v>Fornecedores</v>
      </c>
      <c r="I1118" s="87"/>
    </row>
    <row r="1119" spans="1:9" ht="12.75" customHeight="1" x14ac:dyDescent="0.2">
      <c r="A1119" s="94" t="s">
        <v>5323</v>
      </c>
      <c r="B1119" s="87" t="s">
        <v>435</v>
      </c>
      <c r="C1119" s="87" t="s">
        <v>6285</v>
      </c>
      <c r="D1119" s="88">
        <v>1848.5</v>
      </c>
      <c r="E1119" s="89"/>
      <c r="F1119" s="89"/>
      <c r="G1119" s="87" t="str">
        <f t="shared" si="17"/>
        <v>213110400'= CONTAS A PAGAR CREDORES NACIONAIS89341127000188</v>
      </c>
      <c r="H1119" s="87" t="str">
        <f>VLOOKUP(Tabela1[[#This Row],[CONCATENAR]],'Classificações - Demonstrações'!$A$5:$C$46003,2,)</f>
        <v>Fornecedores</v>
      </c>
      <c r="I1119" s="87"/>
    </row>
    <row r="1120" spans="1:9" ht="12.75" customHeight="1" x14ac:dyDescent="0.2">
      <c r="A1120" s="94" t="s">
        <v>5323</v>
      </c>
      <c r="B1120" s="87" t="s">
        <v>435</v>
      </c>
      <c r="C1120" s="87" t="s">
        <v>6286</v>
      </c>
      <c r="D1120" s="88">
        <v>0</v>
      </c>
      <c r="E1120" s="89"/>
      <c r="F1120" s="89"/>
      <c r="G1120" s="87" t="str">
        <f t="shared" si="17"/>
        <v>213110400'= CONTAS A PAGAR CREDORES NACIONAIS92690700000254</v>
      </c>
      <c r="H1120" s="87" t="str">
        <f>VLOOKUP(Tabela1[[#This Row],[CONCATENAR]],'Classificações - Demonstrações'!$A$5:$C$46003,2,)</f>
        <v>Fornecedores</v>
      </c>
      <c r="I1120" s="87"/>
    </row>
    <row r="1121" spans="1:9" ht="12.75" customHeight="1" x14ac:dyDescent="0.2">
      <c r="A1121" s="94" t="s">
        <v>5323</v>
      </c>
      <c r="B1121" s="87" t="s">
        <v>435</v>
      </c>
      <c r="C1121" s="87" t="s">
        <v>6287</v>
      </c>
      <c r="D1121" s="88">
        <v>0</v>
      </c>
      <c r="E1121" s="89"/>
      <c r="F1121" s="89"/>
      <c r="G1121" s="87" t="str">
        <f t="shared" si="17"/>
        <v>213110400'= CONTAS A PAGAR CREDORES NACIONAIS96513486000483</v>
      </c>
      <c r="H1121" s="87" t="str">
        <f>VLOOKUP(Tabela1[[#This Row],[CONCATENAR]],'Classificações - Demonstrações'!$A$5:$C$46003,2,)</f>
        <v>Fornecedores</v>
      </c>
      <c r="I1121" s="87"/>
    </row>
    <row r="1122" spans="1:9" ht="12.75" customHeight="1" x14ac:dyDescent="0.2">
      <c r="A1122" s="94" t="s">
        <v>5334</v>
      </c>
      <c r="B1122" s="87" t="s">
        <v>4643</v>
      </c>
      <c r="C1122" s="87" t="s">
        <v>4644</v>
      </c>
      <c r="D1122" s="88">
        <v>0</v>
      </c>
      <c r="E1122" s="89"/>
      <c r="F1122" s="89"/>
      <c r="G1122" s="87" t="str">
        <f t="shared" si="17"/>
        <v>213120400'= CONTAS A PAGAR CREDORES NACIONAIS -INTRA OFSS1000000000113202</v>
      </c>
      <c r="H1122" s="87" t="str">
        <f>VLOOKUP(Tabela1[[#This Row],[CONCATENAR]],'Classificações - Demonstrações'!$A$5:$C$46003,2,)</f>
        <v>Fornecedores</v>
      </c>
      <c r="I1122" s="87"/>
    </row>
    <row r="1123" spans="1:9" ht="12.75" customHeight="1" x14ac:dyDescent="0.2">
      <c r="A1123" s="94" t="s">
        <v>5334</v>
      </c>
      <c r="B1123" s="87" t="s">
        <v>4643</v>
      </c>
      <c r="C1123" s="87" t="s">
        <v>4801</v>
      </c>
      <c r="D1123" s="88">
        <v>0</v>
      </c>
      <c r="E1123" s="89"/>
      <c r="F1123" s="89"/>
      <c r="G1123" s="87" t="str">
        <f t="shared" si="17"/>
        <v>213120400'= CONTAS A PAGAR CREDORES NACIONAIS -INTRA OFSS1000000000115406</v>
      </c>
      <c r="H1123" s="87" t="str">
        <f>VLOOKUP(Tabela1[[#This Row],[CONCATENAR]],'Classificações - Demonstrações'!$A$5:$C$46003,2,)</f>
        <v>Fornecedores</v>
      </c>
      <c r="I1123" s="87"/>
    </row>
    <row r="1124" spans="1:9" ht="12.75" customHeight="1" x14ac:dyDescent="0.2">
      <c r="A1124" s="94" t="s">
        <v>5334</v>
      </c>
      <c r="B1124" s="87" t="s">
        <v>4643</v>
      </c>
      <c r="C1124" s="87" t="s">
        <v>6288</v>
      </c>
      <c r="D1124" s="88">
        <v>4009</v>
      </c>
      <c r="E1124" s="89"/>
      <c r="F1124" s="89"/>
      <c r="G1124" s="87" t="str">
        <f t="shared" si="17"/>
        <v>213120400'= CONTAS A PAGAR CREDORES NACIONAIS -INTRA OFSS1050000266115406</v>
      </c>
      <c r="H1124" s="87" t="str">
        <f>VLOOKUP(Tabela1[[#This Row],[CONCATENAR]],'Classificações - Demonstrações'!$A$5:$C$46003,2,)</f>
        <v>Fornecedores</v>
      </c>
      <c r="I1124" s="87"/>
    </row>
    <row r="1125" spans="1:9" ht="12.75" customHeight="1" x14ac:dyDescent="0.2">
      <c r="A1125" s="94" t="s">
        <v>5334</v>
      </c>
      <c r="B1125" s="87" t="s">
        <v>4643</v>
      </c>
      <c r="C1125" s="87" t="s">
        <v>6158</v>
      </c>
      <c r="D1125" s="88">
        <v>0</v>
      </c>
      <c r="E1125" s="89"/>
      <c r="F1125" s="89"/>
      <c r="G1125" s="87" t="str">
        <f t="shared" si="17"/>
        <v>213120400'= CONTAS A PAGAR CREDORES NACIONAIS -INTRA OFSS115406</v>
      </c>
      <c r="H1125" s="87" t="str">
        <f>VLOOKUP(Tabela1[[#This Row],[CONCATENAR]],'Classificações - Demonstrações'!$A$5:$C$46003,2,)</f>
        <v>Fornecedores</v>
      </c>
      <c r="I1125" s="87"/>
    </row>
    <row r="1126" spans="1:9" ht="12.75" customHeight="1" x14ac:dyDescent="0.2">
      <c r="A1126" s="94" t="s">
        <v>5335</v>
      </c>
      <c r="B1126" s="87" t="s">
        <v>550</v>
      </c>
      <c r="C1126" s="87" t="s">
        <v>319</v>
      </c>
      <c r="D1126" s="88">
        <v>274843.59000000003</v>
      </c>
      <c r="E1126" s="89"/>
      <c r="F1126" s="89"/>
      <c r="G1126" s="87" t="str">
        <f t="shared" si="17"/>
        <v>214110200'= IRPJ A RECOLHERSEM INFORMACAO</v>
      </c>
      <c r="H1126" s="87" t="str">
        <f>VLOOKUP(Tabela1[[#This Row],[CONCATENAR]],'Classificações - Demonstrações'!$A$5:$C$46003,2,)</f>
        <v>Obrigações tributárias</v>
      </c>
      <c r="I1126" s="87"/>
    </row>
    <row r="1127" spans="1:9" ht="12.75" customHeight="1" x14ac:dyDescent="0.2">
      <c r="A1127" s="94" t="s">
        <v>5336</v>
      </c>
      <c r="B1127" s="87" t="s">
        <v>552</v>
      </c>
      <c r="C1127" s="87" t="s">
        <v>319</v>
      </c>
      <c r="D1127" s="88">
        <v>103589.85</v>
      </c>
      <c r="E1127" s="89"/>
      <c r="F1127" s="89"/>
      <c r="G1127" s="87" t="str">
        <f t="shared" si="17"/>
        <v>214110900'= CSSL A RECOLHERSEM INFORMACAO</v>
      </c>
      <c r="H1127" s="87" t="str">
        <f>VLOOKUP(Tabela1[[#This Row],[CONCATENAR]],'Classificações - Demonstrações'!$A$5:$C$46003,2,)</f>
        <v>Obrigações tributárias</v>
      </c>
      <c r="I1127" s="87"/>
    </row>
    <row r="1128" spans="1:9" ht="12.75" customHeight="1" x14ac:dyDescent="0.2">
      <c r="A1128" s="94" t="s">
        <v>5337</v>
      </c>
      <c r="B1128" s="87" t="s">
        <v>553</v>
      </c>
      <c r="C1128" s="87" t="s">
        <v>423</v>
      </c>
      <c r="D1128" s="88">
        <v>0</v>
      </c>
      <c r="E1128" s="89"/>
      <c r="F1128" s="89"/>
      <c r="G1128" s="87" t="str">
        <f t="shared" si="17"/>
        <v>214111401'= TAXA DE FISCALIZACAO OU DE PODER DE POLICIA1000000000</v>
      </c>
      <c r="H1128" s="87" t="str">
        <f>VLOOKUP(Tabela1[[#This Row],[CONCATENAR]],'Classificações - Demonstrações'!$A$5:$C$46003,2,)</f>
        <v>Obrigações tributárias</v>
      </c>
      <c r="I1128" s="87"/>
    </row>
    <row r="1129" spans="1:9" ht="12.75" customHeight="1" x14ac:dyDescent="0.2">
      <c r="A1129" s="94" t="s">
        <v>5338</v>
      </c>
      <c r="B1129" s="87" t="s">
        <v>4544</v>
      </c>
      <c r="C1129" s="87" t="s">
        <v>319</v>
      </c>
      <c r="D1129" s="88">
        <v>905592.82</v>
      </c>
      <c r="E1129" s="89"/>
      <c r="F1129" s="89"/>
      <c r="G1129" s="87" t="str">
        <f t="shared" si="17"/>
        <v>214119900'= OUTROS TRIBUTOS E CONTRIB FEDERAIS A RECOLHERSEM INFORMACAO</v>
      </c>
      <c r="H1129" s="87" t="str">
        <f>VLOOKUP(Tabela1[[#This Row],[CONCATENAR]],'Classificações - Demonstrações'!$A$5:$C$46003,2,)</f>
        <v>Obrigações tributárias</v>
      </c>
      <c r="I1129" s="87"/>
    </row>
    <row r="1130" spans="1:9" ht="12.75" customHeight="1" x14ac:dyDescent="0.2">
      <c r="A1130" s="94" t="s">
        <v>5339</v>
      </c>
      <c r="B1130" s="87" t="s">
        <v>553</v>
      </c>
      <c r="C1130" s="87" t="s">
        <v>423</v>
      </c>
      <c r="D1130" s="88">
        <v>0</v>
      </c>
      <c r="E1130" s="89"/>
      <c r="F1130" s="89"/>
      <c r="G1130" s="87" t="str">
        <f t="shared" si="17"/>
        <v>214121401'= TAXA DE FISCALIZACAO OU DE PODER DE POLICIA1000000000</v>
      </c>
      <c r="H1130" s="87" t="str">
        <f>VLOOKUP(Tabela1[[#This Row],[CONCATENAR]],'Classificações - Demonstrações'!$A$5:$C$46003,2,)</f>
        <v>Obrigações tributárias</v>
      </c>
      <c r="I1130" s="87"/>
    </row>
    <row r="1131" spans="1:9" ht="12.75" customHeight="1" x14ac:dyDescent="0.2">
      <c r="A1131" s="94" t="s">
        <v>5340</v>
      </c>
      <c r="B1131" s="87" t="s">
        <v>5148</v>
      </c>
      <c r="C1131" s="87" t="s">
        <v>312</v>
      </c>
      <c r="D1131" s="88">
        <v>12992.26</v>
      </c>
      <c r="E1131" s="89"/>
      <c r="F1131" s="89"/>
      <c r="G1131" s="87" t="str">
        <f t="shared" si="17"/>
        <v>214210600'= TAXA DE LICENCIAMENTO ANUAL DE VEICULOS1050000266</v>
      </c>
      <c r="H1131" s="87" t="str">
        <f>VLOOKUP(Tabela1[[#This Row],[CONCATENAR]],'Classificações - Demonstrações'!$A$5:$C$46003,2,)</f>
        <v>Obrigações tributárias</v>
      </c>
      <c r="I1131" s="87"/>
    </row>
    <row r="1132" spans="1:9" ht="12.75" customHeight="1" x14ac:dyDescent="0.2">
      <c r="A1132" s="94" t="s">
        <v>5808</v>
      </c>
      <c r="B1132" s="87" t="s">
        <v>5809</v>
      </c>
      <c r="C1132" s="87" t="s">
        <v>319</v>
      </c>
      <c r="D1132" s="88">
        <v>43753.919999999998</v>
      </c>
      <c r="E1132" s="89"/>
      <c r="F1132" s="89"/>
      <c r="G1132" s="87" t="str">
        <f t="shared" si="17"/>
        <v>214219900'= OUTROS TRIBUTOS E CONTRIB ESTADUAIS A RECOLHESEM INFORMACAO</v>
      </c>
      <c r="H1132" s="87" t="str">
        <f>VLOOKUP(Tabela1[[#This Row],[CONCATENAR]],'Classificações - Demonstrações'!$A$5:$C$46003,2,)</f>
        <v>Obrigações tributárias</v>
      </c>
      <c r="I1132" s="87"/>
    </row>
    <row r="1133" spans="1:9" ht="12.75" customHeight="1" x14ac:dyDescent="0.2">
      <c r="A1133" s="94" t="s">
        <v>6289</v>
      </c>
      <c r="B1133" s="87" t="s">
        <v>6290</v>
      </c>
      <c r="C1133" s="87" t="s">
        <v>319</v>
      </c>
      <c r="D1133" s="88">
        <v>826279.88</v>
      </c>
      <c r="E1133" s="89"/>
      <c r="F1133" s="89"/>
      <c r="G1133" s="87" t="str">
        <f t="shared" si="17"/>
        <v>214240101'= ICMS A RECOL S/ MERCAD P/ REVENDA -INTER ESTSEM INFORMACAO</v>
      </c>
      <c r="H1133" s="87" t="str">
        <f>VLOOKUP(Tabela1[[#This Row],[CONCATENAR]],'Classificações - Demonstrações'!$A$5:$C$46003,2,)</f>
        <v>Obrigações tributárias</v>
      </c>
      <c r="I1133" s="87"/>
    </row>
    <row r="1134" spans="1:9" ht="12.75" customHeight="1" x14ac:dyDescent="0.2">
      <c r="A1134" s="94" t="s">
        <v>5810</v>
      </c>
      <c r="B1134" s="87" t="s">
        <v>5811</v>
      </c>
      <c r="C1134" s="87" t="s">
        <v>319</v>
      </c>
      <c r="D1134" s="88">
        <v>87028.22</v>
      </c>
      <c r="E1134" s="89"/>
      <c r="F1134" s="89"/>
      <c r="G1134" s="87" t="str">
        <f t="shared" si="17"/>
        <v>214310100'= ISS A RECOLHERSEM INFORMACAO</v>
      </c>
      <c r="H1134" s="87" t="str">
        <f>VLOOKUP(Tabela1[[#This Row],[CONCATENAR]],'Classificações - Demonstrações'!$A$5:$C$46003,2,)</f>
        <v>Obrigações tributárias</v>
      </c>
      <c r="I1134" s="87"/>
    </row>
    <row r="1135" spans="1:9" ht="12.75" customHeight="1" x14ac:dyDescent="0.2">
      <c r="A1135" s="94" t="s">
        <v>5341</v>
      </c>
      <c r="B1135" s="87" t="s">
        <v>554</v>
      </c>
      <c r="C1135" s="87" t="s">
        <v>423</v>
      </c>
      <c r="D1135" s="88">
        <v>251617.79</v>
      </c>
      <c r="E1135" s="89"/>
      <c r="F1135" s="89"/>
      <c r="G1135" s="87" t="str">
        <f t="shared" si="17"/>
        <v>214310200'= IPTU/TLP A RECOLHER1000000000</v>
      </c>
      <c r="H1135" s="87" t="str">
        <f>VLOOKUP(Tabela1[[#This Row],[CONCATENAR]],'Classificações - Demonstrações'!$A$5:$C$46003,2,)</f>
        <v>Obrigações tributárias</v>
      </c>
      <c r="I1135" s="87"/>
    </row>
    <row r="1136" spans="1:9" ht="12.75" customHeight="1" x14ac:dyDescent="0.2">
      <c r="A1136" s="94" t="s">
        <v>5341</v>
      </c>
      <c r="B1136" s="87" t="s">
        <v>554</v>
      </c>
      <c r="C1136" s="87" t="s">
        <v>312</v>
      </c>
      <c r="D1136" s="88">
        <v>0</v>
      </c>
      <c r="E1136" s="89"/>
      <c r="F1136" s="89"/>
      <c r="G1136" s="87" t="str">
        <f t="shared" si="17"/>
        <v>214310200'= IPTU/TLP A RECOLHER1050000266</v>
      </c>
      <c r="H1136" s="87" t="str">
        <f>VLOOKUP(Tabela1[[#This Row],[CONCATENAR]],'Classificações - Demonstrações'!$A$5:$C$46003,2,)</f>
        <v>Obrigações tributárias</v>
      </c>
      <c r="I1136" s="87"/>
    </row>
    <row r="1137" spans="1:9" ht="12.75" customHeight="1" x14ac:dyDescent="0.2">
      <c r="A1137" s="94" t="s">
        <v>5341</v>
      </c>
      <c r="B1137" s="87" t="s">
        <v>554</v>
      </c>
      <c r="C1137" s="87" t="s">
        <v>319</v>
      </c>
      <c r="D1137" s="88">
        <v>3130918.65</v>
      </c>
      <c r="E1137" s="89"/>
      <c r="F1137" s="89"/>
      <c r="G1137" s="87" t="str">
        <f t="shared" si="17"/>
        <v>214310200'= IPTU/TLP A RECOLHERSEM INFORMACAO</v>
      </c>
      <c r="H1137" s="87" t="str">
        <f>VLOOKUP(Tabela1[[#This Row],[CONCATENAR]],'Classificações - Demonstrações'!$A$5:$C$46003,2,)</f>
        <v>Obrigações tributárias</v>
      </c>
      <c r="I1137" s="87"/>
    </row>
    <row r="1138" spans="1:9" ht="12.75" customHeight="1" x14ac:dyDescent="0.2">
      <c r="A1138" s="94" t="s">
        <v>5342</v>
      </c>
      <c r="B1138" s="87" t="s">
        <v>555</v>
      </c>
      <c r="C1138" s="87" t="s">
        <v>556</v>
      </c>
      <c r="D1138" s="88">
        <v>0</v>
      </c>
      <c r="E1138" s="89"/>
      <c r="F1138" s="89"/>
      <c r="G1138" s="87" t="str">
        <f t="shared" si="17"/>
        <v>215210000'= TRANSF LEGAIS A PAGAR - CONSOLIDACAO100000000028015170000169</v>
      </c>
      <c r="H1138" s="87" t="str">
        <f>VLOOKUP(Tabela1[[#This Row],[CONCATENAR]],'Classificações - Demonstrações'!$A$5:$C$46003,2,)</f>
        <v>Fornecedores</v>
      </c>
      <c r="I1138" s="87"/>
    </row>
    <row r="1139" spans="1:9" ht="12.75" customHeight="1" x14ac:dyDescent="0.2">
      <c r="A1139" s="94" t="s">
        <v>5343</v>
      </c>
      <c r="B1139" s="87" t="s">
        <v>557</v>
      </c>
      <c r="C1139" s="87" t="s">
        <v>5564</v>
      </c>
      <c r="D1139" s="88">
        <v>275482.09000000003</v>
      </c>
      <c r="E1139" s="89"/>
      <c r="F1139" s="89"/>
      <c r="G1139" s="87" t="str">
        <f t="shared" si="17"/>
        <v>218110000'= ADIANTAMENTOS DE CLIENTES - CONSOLIDACAO10827182000122</v>
      </c>
      <c r="H1139" s="87" t="str">
        <f>VLOOKUP(Tabela1[[#This Row],[CONCATENAR]],'Classificações - Demonstrações'!$A$5:$C$46003,2,)</f>
        <v>Obrigações com Clientes</v>
      </c>
      <c r="I1139" s="87"/>
    </row>
    <row r="1140" spans="1:9" ht="12.75" customHeight="1" x14ac:dyDescent="0.2">
      <c r="A1140" s="94" t="s">
        <v>5343</v>
      </c>
      <c r="B1140" s="87" t="s">
        <v>557</v>
      </c>
      <c r="C1140" s="87" t="s">
        <v>4802</v>
      </c>
      <c r="D1140" s="88">
        <v>6966259.4699999997</v>
      </c>
      <c r="E1140" s="89"/>
      <c r="F1140" s="89"/>
      <c r="G1140" s="87" t="str">
        <f t="shared" si="17"/>
        <v>218110000'= ADIANTAMENTOS DE CLIENTES - CONSOLIDACAO28438777000402</v>
      </c>
      <c r="H1140" s="87" t="str">
        <f>VLOOKUP(Tabela1[[#This Row],[CONCATENAR]],'Classificações - Demonstrações'!$A$5:$C$46003,2,)</f>
        <v>Obrigações com Clientes</v>
      </c>
      <c r="I1140" s="87"/>
    </row>
    <row r="1141" spans="1:9" ht="12.75" customHeight="1" x14ac:dyDescent="0.2">
      <c r="A1141" s="94" t="s">
        <v>5343</v>
      </c>
      <c r="B1141" s="87" t="s">
        <v>557</v>
      </c>
      <c r="C1141" s="87" t="s">
        <v>24</v>
      </c>
      <c r="D1141" s="88">
        <v>1760435.57</v>
      </c>
      <c r="E1141" s="89"/>
      <c r="F1141" s="89"/>
      <c r="G1141" s="87" t="str">
        <f t="shared" si="17"/>
        <v>218110000'= ADIANTAMENTOS DE CLIENTES - CONSOLIDACAO33220880000160</v>
      </c>
      <c r="H1141" s="87" t="str">
        <f>VLOOKUP(Tabela1[[#This Row],[CONCATENAR]],'Classificações - Demonstrações'!$A$5:$C$46003,2,)</f>
        <v>Obrigações com Clientes</v>
      </c>
      <c r="I1141" s="87"/>
    </row>
    <row r="1142" spans="1:9" ht="12.75" customHeight="1" x14ac:dyDescent="0.2">
      <c r="A1142" s="94" t="s">
        <v>5343</v>
      </c>
      <c r="B1142" s="87" t="s">
        <v>557</v>
      </c>
      <c r="C1142" s="87" t="s">
        <v>41</v>
      </c>
      <c r="D1142" s="88">
        <v>33249604.300000001</v>
      </c>
      <c r="E1142" s="89"/>
      <c r="F1142" s="89"/>
      <c r="G1142" s="87" t="str">
        <f t="shared" si="17"/>
        <v>218110000'= ADIANTAMENTOS DE CLIENTES - CONSOLIDACAO42540211000167</v>
      </c>
      <c r="H1142" s="87" t="str">
        <f>VLOOKUP(Tabela1[[#This Row],[CONCATENAR]],'Classificações - Demonstrações'!$A$5:$C$46003,2,)</f>
        <v>Obrigações com Clientes</v>
      </c>
      <c r="I1142" s="87"/>
    </row>
    <row r="1143" spans="1:9" ht="12.75" customHeight="1" x14ac:dyDescent="0.2">
      <c r="A1143" s="94" t="s">
        <v>5343</v>
      </c>
      <c r="B1143" s="87" t="s">
        <v>557</v>
      </c>
      <c r="C1143" s="87" t="s">
        <v>29</v>
      </c>
      <c r="D1143" s="88">
        <v>382250.28</v>
      </c>
      <c r="E1143" s="89"/>
      <c r="F1143" s="89"/>
      <c r="G1143" s="87" t="str">
        <f t="shared" si="17"/>
        <v>218110000'= ADIANTAMENTOS DE CLIENTES - CONSOLIDACAO42540211000248</v>
      </c>
      <c r="H1143" s="87" t="str">
        <f>VLOOKUP(Tabela1[[#This Row],[CONCATENAR]],'Classificações - Demonstrações'!$A$5:$C$46003,2,)</f>
        <v>Obrigações com Clientes</v>
      </c>
      <c r="I1143" s="87"/>
    </row>
    <row r="1144" spans="1:9" ht="12.75" customHeight="1" x14ac:dyDescent="0.2">
      <c r="A1144" s="94" t="s">
        <v>5343</v>
      </c>
      <c r="B1144" s="87" t="s">
        <v>557</v>
      </c>
      <c r="C1144" s="87" t="s">
        <v>558</v>
      </c>
      <c r="D1144" s="88">
        <v>2350620.44</v>
      </c>
      <c r="E1144" s="89"/>
      <c r="F1144" s="89"/>
      <c r="G1144" s="87" t="str">
        <f t="shared" si="17"/>
        <v>218110000'= ADIANTAMENTOS DE CLIENTES - CONSOLIDACAO710300</v>
      </c>
      <c r="H1144" s="87" t="str">
        <f>VLOOKUP(Tabela1[[#This Row],[CONCATENAR]],'Classificações - Demonstrações'!$A$5:$C$46003,2,)</f>
        <v>Obrigações com Clientes</v>
      </c>
      <c r="I1144" s="87"/>
    </row>
    <row r="1145" spans="1:9" ht="12.75" customHeight="1" x14ac:dyDescent="0.2">
      <c r="A1145" s="94" t="s">
        <v>5343</v>
      </c>
      <c r="B1145" s="87" t="s">
        <v>557</v>
      </c>
      <c r="C1145" s="87" t="s">
        <v>5037</v>
      </c>
      <c r="D1145" s="88">
        <v>1890212.34</v>
      </c>
      <c r="E1145" s="89"/>
      <c r="F1145" s="89"/>
      <c r="G1145" s="87" t="str">
        <f t="shared" si="17"/>
        <v>218110000'= ADIANTAMENTOS DE CLIENTES - CONSOLIDACAO742050</v>
      </c>
      <c r="H1145" s="87" t="str">
        <f>VLOOKUP(Tabela1[[#This Row],[CONCATENAR]],'Classificações - Demonstrações'!$A$5:$C$46003,2,)</f>
        <v>Obrigações com Clientes</v>
      </c>
      <c r="I1145" s="87"/>
    </row>
    <row r="1146" spans="1:9" ht="12.75" customHeight="1" x14ac:dyDescent="0.2">
      <c r="A1146" s="94" t="s">
        <v>5343</v>
      </c>
      <c r="B1146" s="87" t="s">
        <v>557</v>
      </c>
      <c r="C1146" s="87" t="s">
        <v>31</v>
      </c>
      <c r="D1146" s="88">
        <v>33042.620000000003</v>
      </c>
      <c r="E1146" s="89"/>
      <c r="F1146" s="89"/>
      <c r="G1146" s="87" t="str">
        <f t="shared" si="17"/>
        <v>218110000'= ADIANTAMENTOS DE CLIENTES - CONSOLIDACAO789200</v>
      </c>
      <c r="H1146" s="87" t="str">
        <f>VLOOKUP(Tabela1[[#This Row],[CONCATENAR]],'Classificações - Demonstrações'!$A$5:$C$46003,2,)</f>
        <v>Obrigações com Clientes</v>
      </c>
      <c r="I1146" s="87"/>
    </row>
    <row r="1147" spans="1:9" ht="12.75" customHeight="1" x14ac:dyDescent="0.2">
      <c r="A1147" s="94" t="s">
        <v>5344</v>
      </c>
      <c r="B1147" s="87" t="s">
        <v>559</v>
      </c>
      <c r="C1147" s="87" t="s">
        <v>423</v>
      </c>
      <c r="D1147" s="88">
        <v>1384686.65</v>
      </c>
      <c r="E1147" s="89"/>
      <c r="F1147" s="89"/>
      <c r="G1147" s="87" t="str">
        <f t="shared" si="17"/>
        <v>218810102'= RETENCAO PREVIDENCIARIA - FRGPS1000000000</v>
      </c>
      <c r="H1147" s="87" t="str">
        <f>VLOOKUP(Tabela1[[#This Row],[CONCATENAR]],'Classificações - Demonstrações'!$A$5:$C$46003,2,)</f>
        <v>Obrigações tributárias</v>
      </c>
      <c r="I1147" s="87"/>
    </row>
    <row r="1148" spans="1:9" ht="12.75" customHeight="1" x14ac:dyDescent="0.2">
      <c r="A1148" s="94" t="s">
        <v>5344</v>
      </c>
      <c r="B1148" s="87" t="s">
        <v>559</v>
      </c>
      <c r="C1148" s="87" t="s">
        <v>312</v>
      </c>
      <c r="D1148" s="88">
        <v>823317.64</v>
      </c>
      <c r="E1148" s="89"/>
      <c r="F1148" s="89"/>
      <c r="G1148" s="87" t="str">
        <f t="shared" si="17"/>
        <v>218810102'= RETENCAO PREVIDENCIARIA - FRGPS1050000266</v>
      </c>
      <c r="H1148" s="87" t="str">
        <f>VLOOKUP(Tabela1[[#This Row],[CONCATENAR]],'Classificações - Demonstrações'!$A$5:$C$46003,2,)</f>
        <v>Obrigações tributárias</v>
      </c>
      <c r="I1148" s="87"/>
    </row>
    <row r="1149" spans="1:9" ht="12.75" customHeight="1" x14ac:dyDescent="0.2">
      <c r="A1149" s="94" t="s">
        <v>5344</v>
      </c>
      <c r="B1149" s="87" t="s">
        <v>559</v>
      </c>
      <c r="C1149" s="87" t="s">
        <v>551</v>
      </c>
      <c r="D1149" s="88">
        <v>3919.23</v>
      </c>
      <c r="E1149" s="89"/>
      <c r="F1149" s="89"/>
      <c r="G1149" s="87" t="str">
        <f t="shared" si="17"/>
        <v>218810102'= RETENCAO PREVIDENCIARIA - FRGPS3050000266</v>
      </c>
      <c r="H1149" s="87" t="str">
        <f>VLOOKUP(Tabela1[[#This Row],[CONCATENAR]],'Classificações - Demonstrações'!$A$5:$C$46003,2,)</f>
        <v>Obrigações tributárias</v>
      </c>
      <c r="I1149" s="87"/>
    </row>
    <row r="1150" spans="1:9" ht="12.75" customHeight="1" x14ac:dyDescent="0.2">
      <c r="A1150" s="94" t="s">
        <v>5345</v>
      </c>
      <c r="B1150" s="87" t="s">
        <v>561</v>
      </c>
      <c r="C1150" s="87" t="s">
        <v>510</v>
      </c>
      <c r="D1150" s="88">
        <v>2896.08</v>
      </c>
      <c r="E1150" s="89"/>
      <c r="F1150" s="89"/>
      <c r="G1150" s="87" t="str">
        <f t="shared" si="17"/>
        <v>218810104'= IRRF DEVIDO AO TESOURO NACIONAL1000000000PF9999901</v>
      </c>
      <c r="H1150" s="87" t="str">
        <f>VLOOKUP(Tabela1[[#This Row],[CONCATENAR]],'Classificações - Demonstrações'!$A$5:$C$46003,2,)</f>
        <v>Obrigações tributárias</v>
      </c>
      <c r="I1150" s="87"/>
    </row>
    <row r="1151" spans="1:9" ht="12.75" customHeight="1" x14ac:dyDescent="0.2">
      <c r="A1151" s="94" t="s">
        <v>5345</v>
      </c>
      <c r="B1151" s="87" t="s">
        <v>561</v>
      </c>
      <c r="C1151" s="87" t="s">
        <v>428</v>
      </c>
      <c r="D1151" s="88">
        <v>6038001.5499999998</v>
      </c>
      <c r="E1151" s="89"/>
      <c r="F1151" s="89"/>
      <c r="G1151" s="87" t="str">
        <f t="shared" si="17"/>
        <v>218810104'= IRRF DEVIDO AO TESOURO NACIONAL1000000000PF9999905</v>
      </c>
      <c r="H1151" s="87" t="str">
        <f>VLOOKUP(Tabela1[[#This Row],[CONCATENAR]],'Classificações - Demonstrações'!$A$5:$C$46003,2,)</f>
        <v>Obrigações tributárias</v>
      </c>
      <c r="I1151" s="87"/>
    </row>
    <row r="1152" spans="1:9" ht="12.75" customHeight="1" x14ac:dyDescent="0.2">
      <c r="A1152" s="94" t="s">
        <v>5346</v>
      </c>
      <c r="B1152" s="87" t="s">
        <v>562</v>
      </c>
      <c r="C1152" s="87" t="s">
        <v>423</v>
      </c>
      <c r="D1152" s="88">
        <v>3449078.01</v>
      </c>
      <c r="E1152" s="89"/>
      <c r="F1152" s="89"/>
      <c r="G1152" s="87" t="str">
        <f t="shared" si="17"/>
        <v>218810106'= IMPOSTOS E CONTRIB DIVERSOS DEVIDOS AO TESOUR1000000000</v>
      </c>
      <c r="H1152" s="87" t="str">
        <f>VLOOKUP(Tabela1[[#This Row],[CONCATENAR]],'Classificações - Demonstrações'!$A$5:$C$46003,2,)</f>
        <v>Obrigações tributárias</v>
      </c>
      <c r="I1152" s="87"/>
    </row>
    <row r="1153" spans="1:9" ht="12.75" customHeight="1" x14ac:dyDescent="0.2">
      <c r="A1153" s="94" t="s">
        <v>5346</v>
      </c>
      <c r="B1153" s="87" t="s">
        <v>562</v>
      </c>
      <c r="C1153" s="87" t="s">
        <v>312</v>
      </c>
      <c r="D1153" s="88">
        <v>805184.16</v>
      </c>
      <c r="E1153" s="89"/>
      <c r="F1153" s="89"/>
      <c r="G1153" s="87" t="str">
        <f t="shared" si="17"/>
        <v>218810106'= IMPOSTOS E CONTRIB DIVERSOS DEVIDOS AO TESOUR1050000266</v>
      </c>
      <c r="H1153" s="87" t="str">
        <f>VLOOKUP(Tabela1[[#This Row],[CONCATENAR]],'Classificações - Demonstrações'!$A$5:$C$46003,2,)</f>
        <v>Obrigações tributárias</v>
      </c>
      <c r="I1153" s="87"/>
    </row>
    <row r="1154" spans="1:9" ht="12.75" customHeight="1" x14ac:dyDescent="0.2">
      <c r="A1154" s="94" t="s">
        <v>5346</v>
      </c>
      <c r="B1154" s="87" t="s">
        <v>562</v>
      </c>
      <c r="C1154" s="87" t="s">
        <v>560</v>
      </c>
      <c r="D1154" s="88">
        <v>3608.96</v>
      </c>
      <c r="E1154" s="89"/>
      <c r="F1154" s="89"/>
      <c r="G1154" s="87" t="str">
        <f t="shared" si="17"/>
        <v>218810106'= IMPOSTOS E CONTRIB DIVERSOS DEVIDOS AO TESOUR3000000000</v>
      </c>
      <c r="H1154" s="87" t="str">
        <f>VLOOKUP(Tabela1[[#This Row],[CONCATENAR]],'Classificações - Demonstrações'!$A$5:$C$46003,2,)</f>
        <v>Obrigações tributárias</v>
      </c>
      <c r="I1154" s="87"/>
    </row>
    <row r="1155" spans="1:9" ht="12.75" customHeight="1" x14ac:dyDescent="0.2">
      <c r="A1155" s="94" t="s">
        <v>5346</v>
      </c>
      <c r="B1155" s="87" t="s">
        <v>562</v>
      </c>
      <c r="C1155" s="87" t="s">
        <v>551</v>
      </c>
      <c r="D1155" s="88">
        <v>589078.43999999994</v>
      </c>
      <c r="E1155" s="89"/>
      <c r="F1155" s="89"/>
      <c r="G1155" s="87" t="str">
        <f t="shared" si="17"/>
        <v>218810106'= IMPOSTOS E CONTRIB DIVERSOS DEVIDOS AO TESOUR3050000266</v>
      </c>
      <c r="H1155" s="87" t="str">
        <f>VLOOKUP(Tabela1[[#This Row],[CONCATENAR]],'Classificações - Demonstrações'!$A$5:$C$46003,2,)</f>
        <v>Obrigações tributárias</v>
      </c>
      <c r="I1155" s="87"/>
    </row>
    <row r="1156" spans="1:9" ht="12.75" customHeight="1" x14ac:dyDescent="0.2">
      <c r="A1156" s="94" t="s">
        <v>5347</v>
      </c>
      <c r="B1156" s="87" t="s">
        <v>563</v>
      </c>
      <c r="C1156" s="87" t="s">
        <v>423</v>
      </c>
      <c r="D1156" s="88">
        <v>12239.67</v>
      </c>
      <c r="E1156" s="89"/>
      <c r="F1156" s="89"/>
      <c r="G1156" s="87" t="str">
        <f t="shared" si="17"/>
        <v>218810108'= ICMS1000000000</v>
      </c>
      <c r="H1156" s="87" t="str">
        <f>VLOOKUP(Tabela1[[#This Row],[CONCATENAR]],'Classificações - Demonstrações'!$A$5:$C$46003,2,)</f>
        <v>Obrigações tributárias</v>
      </c>
      <c r="I1156" s="87"/>
    </row>
    <row r="1157" spans="1:9" ht="12.75" customHeight="1" x14ac:dyDescent="0.2">
      <c r="A1157" s="94" t="s">
        <v>5347</v>
      </c>
      <c r="B1157" s="87" t="s">
        <v>563</v>
      </c>
      <c r="C1157" s="87" t="s">
        <v>312</v>
      </c>
      <c r="D1157" s="88">
        <v>2718.09</v>
      </c>
      <c r="E1157" s="89"/>
      <c r="F1157" s="89"/>
      <c r="G1157" s="87" t="str">
        <f t="shared" ref="G1157:G1220" si="18">CONCATENATE(A1157,B1157,C1157)</f>
        <v>218810108'= ICMS1050000266</v>
      </c>
      <c r="H1157" s="87" t="str">
        <f>VLOOKUP(Tabela1[[#This Row],[CONCATENAR]],'Classificações - Demonstrações'!$A$5:$C$46003,2,)</f>
        <v>Obrigações tributárias</v>
      </c>
      <c r="I1157" s="87"/>
    </row>
    <row r="1158" spans="1:9" ht="12.75" customHeight="1" x14ac:dyDescent="0.2">
      <c r="A1158" s="94" t="s">
        <v>5347</v>
      </c>
      <c r="B1158" s="87" t="s">
        <v>563</v>
      </c>
      <c r="C1158" s="87" t="s">
        <v>551</v>
      </c>
      <c r="D1158" s="88">
        <v>82366.509999999995</v>
      </c>
      <c r="E1158" s="89"/>
      <c r="F1158" s="89"/>
      <c r="G1158" s="87" t="str">
        <f t="shared" si="18"/>
        <v>218810108'= ICMS3050000266</v>
      </c>
      <c r="H1158" s="87" t="str">
        <f>VLOOKUP(Tabela1[[#This Row],[CONCATENAR]],'Classificações - Demonstrações'!$A$5:$C$46003,2,)</f>
        <v>Obrigações tributárias</v>
      </c>
      <c r="I1158" s="87"/>
    </row>
    <row r="1159" spans="1:9" ht="12.75" customHeight="1" x14ac:dyDescent="0.2">
      <c r="A1159" s="94" t="s">
        <v>5348</v>
      </c>
      <c r="B1159" s="87" t="s">
        <v>564</v>
      </c>
      <c r="C1159" s="87" t="s">
        <v>423</v>
      </c>
      <c r="D1159" s="88">
        <v>9716.09</v>
      </c>
      <c r="E1159" s="89"/>
      <c r="F1159" s="89"/>
      <c r="G1159" s="87" t="str">
        <f t="shared" si="18"/>
        <v>218810109'= ISS1000000000</v>
      </c>
      <c r="H1159" s="87" t="str">
        <f>VLOOKUP(Tabela1[[#This Row],[CONCATENAR]],'Classificações - Demonstrações'!$A$5:$C$46003,2,)</f>
        <v>Obrigações tributárias</v>
      </c>
      <c r="I1159" s="87"/>
    </row>
    <row r="1160" spans="1:9" ht="12.75" customHeight="1" x14ac:dyDescent="0.2">
      <c r="A1160" s="94" t="s">
        <v>5348</v>
      </c>
      <c r="B1160" s="87" t="s">
        <v>564</v>
      </c>
      <c r="C1160" s="87" t="s">
        <v>312</v>
      </c>
      <c r="D1160" s="88">
        <v>0</v>
      </c>
      <c r="E1160" s="89"/>
      <c r="F1160" s="89"/>
      <c r="G1160" s="87" t="str">
        <f t="shared" si="18"/>
        <v>218810109'= ISS1050000266</v>
      </c>
      <c r="H1160" s="87" t="str">
        <f>VLOOKUP(Tabela1[[#This Row],[CONCATENAR]],'Classificações - Demonstrações'!$A$5:$C$46003,2,)</f>
        <v>Obrigações tributárias</v>
      </c>
      <c r="I1160" s="87"/>
    </row>
    <row r="1161" spans="1:9" ht="12.75" customHeight="1" x14ac:dyDescent="0.2">
      <c r="A1161" s="94" t="s">
        <v>5349</v>
      </c>
      <c r="B1161" s="87" t="s">
        <v>565</v>
      </c>
      <c r="C1161" s="87" t="s">
        <v>438</v>
      </c>
      <c r="D1161" s="88">
        <v>237897.42</v>
      </c>
      <c r="E1161" s="89"/>
      <c r="F1161" s="89"/>
      <c r="G1161" s="87" t="str">
        <f t="shared" si="18"/>
        <v>218810114'= PENSAO ALIMENTICIA100000000000000000000191</v>
      </c>
      <c r="H1161" s="87" t="str">
        <f>VLOOKUP(Tabela1[[#This Row],[CONCATENAR]],'Classificações - Demonstrações'!$A$5:$C$46003,2,)</f>
        <v>Outras Obrigações</v>
      </c>
      <c r="I1161" s="87"/>
    </row>
    <row r="1162" spans="1:9" ht="12.75" customHeight="1" x14ac:dyDescent="0.2">
      <c r="A1162" s="94" t="s">
        <v>5349</v>
      </c>
      <c r="B1162" s="87" t="s">
        <v>565</v>
      </c>
      <c r="C1162" s="87" t="s">
        <v>566</v>
      </c>
      <c r="D1162" s="88">
        <v>0</v>
      </c>
      <c r="E1162" s="89"/>
      <c r="F1162" s="89"/>
      <c r="G1162" s="87" t="str">
        <f t="shared" si="18"/>
        <v>218810114'= PENSAO ALIMENTICIA100000000007825531680</v>
      </c>
      <c r="H1162" s="87" t="str">
        <f>VLOOKUP(Tabela1[[#This Row],[CONCATENAR]],'Classificações - Demonstrações'!$A$5:$C$46003,2,)</f>
        <v>Outras Obrigações</v>
      </c>
      <c r="I1162" s="87"/>
    </row>
    <row r="1163" spans="1:9" ht="12.75" customHeight="1" x14ac:dyDescent="0.2">
      <c r="A1163" s="94" t="s">
        <v>5350</v>
      </c>
      <c r="B1163" s="87" t="s">
        <v>567</v>
      </c>
      <c r="C1163" s="87" t="s">
        <v>568</v>
      </c>
      <c r="D1163" s="88">
        <v>57854.04</v>
      </c>
      <c r="E1163" s="89"/>
      <c r="F1163" s="89"/>
      <c r="G1163" s="87" t="str">
        <f t="shared" si="18"/>
        <v>218810117'= RETENCOES-ENTIDADES REPRESENTATIVAS DE CLASSE100000000027216340000100</v>
      </c>
      <c r="H1163" s="87" t="str">
        <f>VLOOKUP(Tabela1[[#This Row],[CONCATENAR]],'Classificações - Demonstrações'!$A$5:$C$46003,2,)</f>
        <v>Outras Obrigações</v>
      </c>
      <c r="I1163" s="87"/>
    </row>
    <row r="1164" spans="1:9" ht="12.75" customHeight="1" x14ac:dyDescent="0.2">
      <c r="A1164" s="94" t="s">
        <v>5350</v>
      </c>
      <c r="B1164" s="87" t="s">
        <v>567</v>
      </c>
      <c r="C1164" s="87" t="s">
        <v>427</v>
      </c>
      <c r="D1164" s="88">
        <v>918801.54</v>
      </c>
      <c r="E1164" s="89"/>
      <c r="F1164" s="89"/>
      <c r="G1164" s="87" t="str">
        <f t="shared" si="18"/>
        <v>218810117'= RETENCOES-ENTIDADES REPRESENTATIVAS DE CLASSE100000000030022727000130</v>
      </c>
      <c r="H1164" s="87" t="str">
        <f>VLOOKUP(Tabela1[[#This Row],[CONCATENAR]],'Classificações - Demonstrações'!$A$5:$C$46003,2,)</f>
        <v>Outras Obrigações</v>
      </c>
      <c r="I1164" s="87"/>
    </row>
    <row r="1165" spans="1:9" ht="12.75" customHeight="1" x14ac:dyDescent="0.2">
      <c r="A1165" s="94" t="s">
        <v>5351</v>
      </c>
      <c r="B1165" s="87" t="s">
        <v>569</v>
      </c>
      <c r="C1165" s="87" t="s">
        <v>438</v>
      </c>
      <c r="D1165" s="88">
        <v>44766.07</v>
      </c>
      <c r="E1165" s="89"/>
      <c r="F1165" s="89"/>
      <c r="G1165" s="87" t="str">
        <f t="shared" si="18"/>
        <v>218810118'= RETENCOES - SINDICATOS100000000000000000000191</v>
      </c>
      <c r="H1165" s="87" t="str">
        <f>VLOOKUP(Tabela1[[#This Row],[CONCATENAR]],'Classificações - Demonstrações'!$A$5:$C$46003,2,)</f>
        <v>Outras Obrigações</v>
      </c>
      <c r="I1165" s="87"/>
    </row>
    <row r="1166" spans="1:9" ht="12.75" customHeight="1" x14ac:dyDescent="0.2">
      <c r="A1166" s="94" t="s">
        <v>5351</v>
      </c>
      <c r="B1166" s="87" t="s">
        <v>569</v>
      </c>
      <c r="C1166" s="87" t="s">
        <v>570</v>
      </c>
      <c r="D1166" s="88">
        <v>18241.32</v>
      </c>
      <c r="E1166" s="89"/>
      <c r="F1166" s="89"/>
      <c r="G1166" s="87" t="str">
        <f t="shared" si="18"/>
        <v>218810118'= RETENCOES - SINDICATOS100000000033739699000165</v>
      </c>
      <c r="H1166" s="87" t="str">
        <f>VLOOKUP(Tabela1[[#This Row],[CONCATENAR]],'Classificações - Demonstrações'!$A$5:$C$46003,2,)</f>
        <v>Outras Obrigações</v>
      </c>
      <c r="I1166" s="87"/>
    </row>
    <row r="1167" spans="1:9" ht="12.75" customHeight="1" x14ac:dyDescent="0.2">
      <c r="A1167" s="94" t="s">
        <v>5352</v>
      </c>
      <c r="B1167" s="87" t="s">
        <v>571</v>
      </c>
      <c r="C1167" s="87" t="s">
        <v>438</v>
      </c>
      <c r="D1167" s="88">
        <v>15463.74</v>
      </c>
      <c r="E1167" s="89"/>
      <c r="F1167" s="89"/>
      <c r="G1167" s="87" t="str">
        <f t="shared" si="18"/>
        <v>218810121'= RETENCOES - PLANOS DE SEGUROS100000000000000000000191</v>
      </c>
      <c r="H1167" s="87" t="str">
        <f>VLOOKUP(Tabela1[[#This Row],[CONCATENAR]],'Classificações - Demonstrações'!$A$5:$C$46003,2,)</f>
        <v>Outras Obrigações</v>
      </c>
      <c r="I1167" s="87"/>
    </row>
    <row r="1168" spans="1:9" ht="12.75" customHeight="1" x14ac:dyDescent="0.2">
      <c r="A1168" s="94" t="s">
        <v>5353</v>
      </c>
      <c r="B1168" s="87" t="s">
        <v>572</v>
      </c>
      <c r="C1168" s="87" t="s">
        <v>438</v>
      </c>
      <c r="D1168" s="88">
        <v>644253.12</v>
      </c>
      <c r="E1168" s="89"/>
      <c r="F1168" s="89"/>
      <c r="G1168" s="87" t="str">
        <f t="shared" si="18"/>
        <v>218810122'= RETENCOES - EMPRESTIMOS E FINANCIAMENTOS100000000000000000000191</v>
      </c>
      <c r="H1168" s="87" t="str">
        <f>VLOOKUP(Tabela1[[#This Row],[CONCATENAR]],'Classificações - Demonstrações'!$A$5:$C$46003,2,)</f>
        <v>Outras Obrigações</v>
      </c>
      <c r="I1168" s="87"/>
    </row>
    <row r="1169" spans="1:9" ht="12.75" customHeight="1" x14ac:dyDescent="0.2">
      <c r="A1169" s="94" t="s">
        <v>5353</v>
      </c>
      <c r="B1169" s="87" t="s">
        <v>572</v>
      </c>
      <c r="C1169" s="87" t="s">
        <v>5038</v>
      </c>
      <c r="D1169" s="88">
        <v>0</v>
      </c>
      <c r="E1169" s="89"/>
      <c r="F1169" s="89"/>
      <c r="G1169" s="87" t="str">
        <f t="shared" si="18"/>
        <v>218810122'= RETENCOES - EMPRESTIMOS E FINANCIAMENTOS100000000000416968000101</v>
      </c>
      <c r="H1169" s="87" t="str">
        <f>VLOOKUP(Tabela1[[#This Row],[CONCATENAR]],'Classificações - Demonstrações'!$A$5:$C$46003,2,)</f>
        <v>Outras Obrigações</v>
      </c>
      <c r="I1169" s="87"/>
    </row>
    <row r="1170" spans="1:9" ht="12.75" customHeight="1" x14ac:dyDescent="0.2">
      <c r="A1170" s="94" t="s">
        <v>5353</v>
      </c>
      <c r="B1170" s="87" t="s">
        <v>572</v>
      </c>
      <c r="C1170" s="87" t="s">
        <v>5039</v>
      </c>
      <c r="D1170" s="88">
        <v>0</v>
      </c>
      <c r="E1170" s="89"/>
      <c r="F1170" s="89"/>
      <c r="G1170" s="87" t="str">
        <f t="shared" si="18"/>
        <v>218810122'= RETENCOES - EMPRESTIMOS E FINANCIAMENTOS100000000007450604000189</v>
      </c>
      <c r="H1170" s="87" t="str">
        <f>VLOOKUP(Tabela1[[#This Row],[CONCATENAR]],'Classificações - Demonstrações'!$A$5:$C$46003,2,)</f>
        <v>Outras Obrigações</v>
      </c>
      <c r="I1170" s="87"/>
    </row>
    <row r="1171" spans="1:9" ht="12.75" customHeight="1" x14ac:dyDescent="0.2">
      <c r="A1171" s="94" t="s">
        <v>5353</v>
      </c>
      <c r="B1171" s="87" t="s">
        <v>572</v>
      </c>
      <c r="C1171" s="87" t="s">
        <v>6291</v>
      </c>
      <c r="D1171" s="88">
        <v>0</v>
      </c>
      <c r="E1171" s="89"/>
      <c r="F1171" s="89"/>
      <c r="G1171" s="87" t="str">
        <f t="shared" si="18"/>
        <v>218810122'= RETENCOES - EMPRESTIMOS E FINANCIAMENTOS100000000026136748000100</v>
      </c>
      <c r="H1171" s="87" t="str">
        <f>VLOOKUP(Tabela1[[#This Row],[CONCATENAR]],'Classificações - Demonstrações'!$A$5:$C$46003,2,)</f>
        <v>Outras Obrigações</v>
      </c>
      <c r="I1171" s="87"/>
    </row>
    <row r="1172" spans="1:9" ht="12.75" customHeight="1" x14ac:dyDescent="0.2">
      <c r="A1172" s="94" t="s">
        <v>5353</v>
      </c>
      <c r="B1172" s="87" t="s">
        <v>572</v>
      </c>
      <c r="C1172" s="87" t="s">
        <v>427</v>
      </c>
      <c r="D1172" s="88">
        <v>37808.660000000003</v>
      </c>
      <c r="E1172" s="89"/>
      <c r="F1172" s="89"/>
      <c r="G1172" s="87" t="str">
        <f t="shared" si="18"/>
        <v>218810122'= RETENCOES - EMPRESTIMOS E FINANCIAMENTOS100000000030022727000130</v>
      </c>
      <c r="H1172" s="87" t="str">
        <f>VLOOKUP(Tabela1[[#This Row],[CONCATENAR]],'Classificações - Demonstrações'!$A$5:$C$46003,2,)</f>
        <v>Outras Obrigações</v>
      </c>
      <c r="I1172" s="87"/>
    </row>
    <row r="1173" spans="1:9" ht="12.75" customHeight="1" x14ac:dyDescent="0.2">
      <c r="A1173" s="94" t="s">
        <v>5353</v>
      </c>
      <c r="B1173" s="87" t="s">
        <v>572</v>
      </c>
      <c r="C1173" s="87" t="s">
        <v>6292</v>
      </c>
      <c r="D1173" s="88">
        <v>0</v>
      </c>
      <c r="E1173" s="89"/>
      <c r="F1173" s="89"/>
      <c r="G1173" s="87" t="str">
        <f t="shared" si="18"/>
        <v>218810122'= RETENCOES - EMPRESTIMOS E FINANCIAMENTOS100000000062232889000190</v>
      </c>
      <c r="H1173" s="87" t="str">
        <f>VLOOKUP(Tabela1[[#This Row],[CONCATENAR]],'Classificações - Demonstrações'!$A$5:$C$46003,2,)</f>
        <v>Outras Obrigações</v>
      </c>
      <c r="I1173" s="87"/>
    </row>
    <row r="1174" spans="1:9" ht="12.75" customHeight="1" x14ac:dyDescent="0.2">
      <c r="A1174" s="94" t="s">
        <v>5353</v>
      </c>
      <c r="B1174" s="87" t="s">
        <v>572</v>
      </c>
      <c r="C1174" s="87" t="s">
        <v>5040</v>
      </c>
      <c r="D1174" s="88">
        <v>0</v>
      </c>
      <c r="E1174" s="89"/>
      <c r="F1174" s="89"/>
      <c r="G1174" s="87" t="str">
        <f t="shared" si="18"/>
        <v>218810122'= RETENCOES - EMPRESTIMOS E FINANCIAMENTOS100000000090400888000142</v>
      </c>
      <c r="H1174" s="87" t="str">
        <f>VLOOKUP(Tabela1[[#This Row],[CONCATENAR]],'Classificações - Demonstrações'!$A$5:$C$46003,2,)</f>
        <v>Outras Obrigações</v>
      </c>
      <c r="I1174" s="87"/>
    </row>
    <row r="1175" spans="1:9" ht="12.75" customHeight="1" x14ac:dyDescent="0.2">
      <c r="A1175" s="94" t="s">
        <v>5353</v>
      </c>
      <c r="B1175" s="87" t="s">
        <v>572</v>
      </c>
      <c r="C1175" s="87" t="s">
        <v>573</v>
      </c>
      <c r="D1175" s="88">
        <v>718206.61</v>
      </c>
      <c r="E1175" s="89"/>
      <c r="F1175" s="89"/>
      <c r="G1175" s="87" t="str">
        <f t="shared" si="18"/>
        <v>218810122'= RETENCOES - EMPRESTIMOS E FINANCIAMENTOS1000000000RB0038166</v>
      </c>
      <c r="H1175" s="87" t="str">
        <f>VLOOKUP(Tabela1[[#This Row],[CONCATENAR]],'Classificações - Demonstrações'!$A$5:$C$46003,2,)</f>
        <v>Outras Obrigações</v>
      </c>
      <c r="I1175" s="87"/>
    </row>
    <row r="1176" spans="1:9" ht="12.75" customHeight="1" x14ac:dyDescent="0.2">
      <c r="A1176" s="94" t="s">
        <v>5354</v>
      </c>
      <c r="B1176" s="87" t="s">
        <v>574</v>
      </c>
      <c r="C1176" s="87" t="s">
        <v>428</v>
      </c>
      <c r="D1176" s="88">
        <v>5234.88</v>
      </c>
      <c r="E1176" s="89"/>
      <c r="F1176" s="89"/>
      <c r="G1176" s="87" t="str">
        <f t="shared" si="18"/>
        <v>218810126'= SERVICOS DE PROCESSAMENTO DE DADOS1000000000PF9999905</v>
      </c>
      <c r="H1176" s="87" t="str">
        <f>VLOOKUP(Tabela1[[#This Row],[CONCATENAR]],'Classificações - Demonstrações'!$A$5:$C$46003,2,)</f>
        <v>Outras Obrigações</v>
      </c>
      <c r="I1176" s="87"/>
    </row>
    <row r="1177" spans="1:9" ht="12.75" customHeight="1" x14ac:dyDescent="0.2">
      <c r="A1177" s="94" t="s">
        <v>5355</v>
      </c>
      <c r="B1177" s="87" t="s">
        <v>575</v>
      </c>
      <c r="C1177" s="87" t="s">
        <v>438</v>
      </c>
      <c r="D1177" s="88">
        <v>0</v>
      </c>
      <c r="E1177" s="89"/>
      <c r="F1177" s="89"/>
      <c r="G1177" s="87" t="str">
        <f t="shared" si="18"/>
        <v>218810128'= DEPOSITOS RETIDOS DE FORNECEDORES100000000000000000000191</v>
      </c>
      <c r="H1177" s="87" t="str">
        <f>VLOOKUP(Tabela1[[#This Row],[CONCATENAR]],'Classificações - Demonstrações'!$A$5:$C$46003,2,)</f>
        <v>Outras Obrigações</v>
      </c>
      <c r="I1177" s="87"/>
    </row>
    <row r="1178" spans="1:9" ht="12.75" customHeight="1" x14ac:dyDescent="0.2">
      <c r="A1178" s="94" t="s">
        <v>5355</v>
      </c>
      <c r="B1178" s="87" t="s">
        <v>575</v>
      </c>
      <c r="C1178" s="87" t="s">
        <v>450</v>
      </c>
      <c r="D1178" s="88">
        <v>5728.19</v>
      </c>
      <c r="E1178" s="89"/>
      <c r="F1178" s="89"/>
      <c r="G1178" s="87" t="str">
        <f t="shared" si="18"/>
        <v>218810128'= DEPOSITOS RETIDOS DE FORNECEDORES100000000003279285000130</v>
      </c>
      <c r="H1178" s="87" t="str">
        <f>VLOOKUP(Tabela1[[#This Row],[CONCATENAR]],'Classificações - Demonstrações'!$A$5:$C$46003,2,)</f>
        <v>Outras Obrigações</v>
      </c>
      <c r="I1178" s="87"/>
    </row>
    <row r="1179" spans="1:9" ht="12.75" customHeight="1" x14ac:dyDescent="0.2">
      <c r="A1179" s="94" t="s">
        <v>5355</v>
      </c>
      <c r="B1179" s="87" t="s">
        <v>575</v>
      </c>
      <c r="C1179" s="87" t="s">
        <v>4621</v>
      </c>
      <c r="D1179" s="89">
        <v>8289.51</v>
      </c>
      <c r="E1179" s="89"/>
      <c r="F1179" s="89"/>
      <c r="G1179" s="87" t="str">
        <f t="shared" si="18"/>
        <v>218810128'= DEPOSITOS RETIDOS DE FORNECEDORES100000000003750757000190</v>
      </c>
      <c r="H1179" s="87" t="str">
        <f>VLOOKUP(Tabela1[[#This Row],[CONCATENAR]],'Classificações - Demonstrações'!$A$5:$C$46003,2,)</f>
        <v>Outras Obrigações</v>
      </c>
      <c r="I1179" s="87"/>
    </row>
    <row r="1180" spans="1:9" ht="12.75" customHeight="1" x14ac:dyDescent="0.2">
      <c r="A1180" s="94" t="s">
        <v>5355</v>
      </c>
      <c r="B1180" s="87" t="s">
        <v>575</v>
      </c>
      <c r="C1180" s="87" t="s">
        <v>576</v>
      </c>
      <c r="D1180" s="88">
        <v>447.17</v>
      </c>
      <c r="E1180" s="89"/>
      <c r="F1180" s="89"/>
      <c r="G1180" s="87" t="str">
        <f t="shared" si="18"/>
        <v>218810128'= DEPOSITOS RETIDOS DE FORNECEDORES100000000010421996000162</v>
      </c>
      <c r="H1180" s="87" t="str">
        <f>VLOOKUP(Tabela1[[#This Row],[CONCATENAR]],'Classificações - Demonstrações'!$A$5:$C$46003,2,)</f>
        <v>Outras Obrigações</v>
      </c>
      <c r="I1180" s="87"/>
    </row>
    <row r="1181" spans="1:9" ht="12.75" customHeight="1" x14ac:dyDescent="0.2">
      <c r="A1181" s="94" t="s">
        <v>5355</v>
      </c>
      <c r="B1181" s="87" t="s">
        <v>575</v>
      </c>
      <c r="C1181" s="87" t="s">
        <v>471</v>
      </c>
      <c r="D1181" s="88">
        <v>37072.76</v>
      </c>
      <c r="E1181" s="89"/>
      <c r="F1181" s="89"/>
      <c r="G1181" s="87" t="str">
        <f t="shared" si="18"/>
        <v>218810128'= DEPOSITOS RETIDOS DE FORNECEDORES100000000014950590000128</v>
      </c>
      <c r="H1181" s="87" t="str">
        <f>VLOOKUP(Tabela1[[#This Row],[CONCATENAR]],'Classificações - Demonstrações'!$A$5:$C$46003,2,)</f>
        <v>Outras Obrigações</v>
      </c>
      <c r="I1181" s="87"/>
    </row>
    <row r="1182" spans="1:9" ht="12.75" customHeight="1" x14ac:dyDescent="0.2">
      <c r="A1182" s="94" t="s">
        <v>5355</v>
      </c>
      <c r="B1182" s="87" t="s">
        <v>575</v>
      </c>
      <c r="C1182" s="87" t="s">
        <v>475</v>
      </c>
      <c r="D1182" s="88">
        <v>6384.03</v>
      </c>
      <c r="E1182" s="89"/>
      <c r="F1182" s="89"/>
      <c r="G1182" s="87" t="str">
        <f t="shared" si="18"/>
        <v>218810128'= DEPOSITOS RETIDOS DE FORNECEDORES100000000021948551000151</v>
      </c>
      <c r="H1182" s="87" t="str">
        <f>VLOOKUP(Tabela1[[#This Row],[CONCATENAR]],'Classificações - Demonstrações'!$A$5:$C$46003,2,)</f>
        <v>Outras Obrigações</v>
      </c>
      <c r="I1182" s="87"/>
    </row>
    <row r="1183" spans="1:9" ht="12.75" customHeight="1" x14ac:dyDescent="0.2">
      <c r="A1183" s="94" t="s">
        <v>5355</v>
      </c>
      <c r="B1183" s="87" t="s">
        <v>575</v>
      </c>
      <c r="C1183" s="87" t="s">
        <v>5670</v>
      </c>
      <c r="D1183" s="88">
        <v>0</v>
      </c>
      <c r="E1183" s="89"/>
      <c r="F1183" s="89"/>
      <c r="G1183" s="87" t="str">
        <f t="shared" si="18"/>
        <v>218810128'= DEPOSITOS RETIDOS DE FORNECEDORES100000000035930513000186</v>
      </c>
      <c r="H1183" s="87" t="str">
        <f>VLOOKUP(Tabela1[[#This Row],[CONCATENAR]],'Classificações - Demonstrações'!$A$5:$C$46003,2,)</f>
        <v>Outras Obrigações</v>
      </c>
      <c r="I1183" s="87"/>
    </row>
    <row r="1184" spans="1:9" ht="12.75" customHeight="1" x14ac:dyDescent="0.2">
      <c r="A1184" s="94" t="s">
        <v>5355</v>
      </c>
      <c r="B1184" s="87" t="s">
        <v>575</v>
      </c>
      <c r="C1184" s="87" t="s">
        <v>490</v>
      </c>
      <c r="D1184" s="88">
        <v>0</v>
      </c>
      <c r="E1184" s="89"/>
      <c r="F1184" s="89"/>
      <c r="G1184" s="87" t="str">
        <f t="shared" si="18"/>
        <v>218810128'= DEPOSITOS RETIDOS DE FORNECEDORES100000000038503861000165</v>
      </c>
      <c r="H1184" s="87" t="str">
        <f>VLOOKUP(Tabela1[[#This Row],[CONCATENAR]],'Classificações - Demonstrações'!$A$5:$C$46003,2,)</f>
        <v>Outras Obrigações</v>
      </c>
      <c r="I1184" s="87"/>
    </row>
    <row r="1185" spans="1:9" ht="12.75" customHeight="1" x14ac:dyDescent="0.2">
      <c r="A1185" s="94" t="s">
        <v>5355</v>
      </c>
      <c r="B1185" s="87" t="s">
        <v>575</v>
      </c>
      <c r="C1185" s="87" t="s">
        <v>495</v>
      </c>
      <c r="D1185" s="88">
        <v>13.27</v>
      </c>
      <c r="E1185" s="89"/>
      <c r="F1185" s="89"/>
      <c r="G1185" s="87" t="str">
        <f t="shared" si="18"/>
        <v>218810128'= DEPOSITOS RETIDOS DE FORNECEDORES100000000043843358000512</v>
      </c>
      <c r="H1185" s="87" t="str">
        <f>VLOOKUP(Tabela1[[#This Row],[CONCATENAR]],'Classificações - Demonstrações'!$A$5:$C$46003,2,)</f>
        <v>Outras Obrigações</v>
      </c>
      <c r="I1185" s="87"/>
    </row>
    <row r="1186" spans="1:9" ht="12.75" customHeight="1" x14ac:dyDescent="0.2">
      <c r="A1186" s="94" t="s">
        <v>5355</v>
      </c>
      <c r="B1186" s="87" t="s">
        <v>575</v>
      </c>
      <c r="C1186" s="87" t="s">
        <v>507</v>
      </c>
      <c r="D1186" s="88">
        <v>1817.72</v>
      </c>
      <c r="E1186" s="89"/>
      <c r="F1186" s="89"/>
      <c r="G1186" s="87" t="str">
        <f t="shared" si="18"/>
        <v>218810128'= DEPOSITOS RETIDOS DE FORNECEDORES100000000072368012000184</v>
      </c>
      <c r="H1186" s="87" t="str">
        <f>VLOOKUP(Tabela1[[#This Row],[CONCATENAR]],'Classificações - Demonstrações'!$A$5:$C$46003,2,)</f>
        <v>Outras Obrigações</v>
      </c>
      <c r="I1186" s="87"/>
    </row>
    <row r="1187" spans="1:9" ht="12.75" customHeight="1" x14ac:dyDescent="0.2">
      <c r="A1187" s="94" t="s">
        <v>5355</v>
      </c>
      <c r="B1187" s="87" t="s">
        <v>575</v>
      </c>
      <c r="C1187" s="87" t="s">
        <v>577</v>
      </c>
      <c r="D1187" s="88">
        <v>14527.16</v>
      </c>
      <c r="E1187" s="89"/>
      <c r="F1187" s="89"/>
      <c r="G1187" s="87" t="str">
        <f t="shared" si="18"/>
        <v>218810128'= DEPOSITOS RETIDOS DE FORNECEDORES100100000014950590000128</v>
      </c>
      <c r="H1187" s="87" t="str">
        <f>VLOOKUP(Tabela1[[#This Row],[CONCATENAR]],'Classificações - Demonstrações'!$A$5:$C$46003,2,)</f>
        <v>Outras Obrigações</v>
      </c>
      <c r="I1187" s="87"/>
    </row>
    <row r="1188" spans="1:9" ht="12.75" customHeight="1" x14ac:dyDescent="0.2">
      <c r="A1188" s="94" t="s">
        <v>5355</v>
      </c>
      <c r="B1188" s="87" t="s">
        <v>575</v>
      </c>
      <c r="C1188" s="87" t="s">
        <v>2</v>
      </c>
      <c r="D1188" s="88">
        <v>0</v>
      </c>
      <c r="E1188" s="89"/>
      <c r="F1188" s="89"/>
      <c r="G1188" s="87" t="str">
        <f t="shared" si="18"/>
        <v>218810128'= DEPOSITOS RETIDOS DE FORNECEDORES105000026600000000000191</v>
      </c>
      <c r="H1188" s="87" t="str">
        <f>VLOOKUP(Tabela1[[#This Row],[CONCATENAR]],'Classificações - Demonstrações'!$A$5:$C$46003,2,)</f>
        <v>Outras Obrigações</v>
      </c>
      <c r="I1188" s="87"/>
    </row>
    <row r="1189" spans="1:9" ht="12.75" customHeight="1" x14ac:dyDescent="0.2">
      <c r="A1189" s="94" t="s">
        <v>5355</v>
      </c>
      <c r="B1189" s="87" t="s">
        <v>575</v>
      </c>
      <c r="C1189" s="87" t="s">
        <v>517</v>
      </c>
      <c r="D1189" s="88">
        <v>2528.35</v>
      </c>
      <c r="E1189" s="89"/>
      <c r="F1189" s="89"/>
      <c r="G1189" s="87" t="str">
        <f t="shared" si="18"/>
        <v>218810128'= DEPOSITOS RETIDOS DE FORNECEDORES105000026603279285000130</v>
      </c>
      <c r="H1189" s="87" t="str">
        <f>VLOOKUP(Tabela1[[#This Row],[CONCATENAR]],'Classificações - Demonstrações'!$A$5:$C$46003,2,)</f>
        <v>Outras Obrigações</v>
      </c>
      <c r="I1189" s="87"/>
    </row>
    <row r="1190" spans="1:9" ht="12.75" customHeight="1" x14ac:dyDescent="0.2">
      <c r="A1190" s="94" t="s">
        <v>5355</v>
      </c>
      <c r="B1190" s="87" t="s">
        <v>575</v>
      </c>
      <c r="C1190" s="87" t="s">
        <v>519</v>
      </c>
      <c r="D1190" s="88">
        <v>2565.1999999999998</v>
      </c>
      <c r="E1190" s="89"/>
      <c r="F1190" s="89"/>
      <c r="G1190" s="87" t="str">
        <f t="shared" si="18"/>
        <v>218810128'= DEPOSITOS RETIDOS DE FORNECEDORES105000026603750757000190</v>
      </c>
      <c r="H1190" s="87" t="str">
        <f>VLOOKUP(Tabela1[[#This Row],[CONCATENAR]],'Classificações - Demonstrações'!$A$5:$C$46003,2,)</f>
        <v>Outras Obrigações</v>
      </c>
      <c r="I1190" s="87"/>
    </row>
    <row r="1191" spans="1:9" ht="12.75" customHeight="1" x14ac:dyDescent="0.2">
      <c r="A1191" s="94" t="s">
        <v>5355</v>
      </c>
      <c r="B1191" s="87" t="s">
        <v>575</v>
      </c>
      <c r="C1191" s="87" t="s">
        <v>4641</v>
      </c>
      <c r="D1191" s="88">
        <v>99437.04</v>
      </c>
      <c r="E1191" s="89"/>
      <c r="F1191" s="89"/>
      <c r="G1191" s="87" t="str">
        <f t="shared" si="18"/>
        <v>218810128'= DEPOSITOS RETIDOS DE FORNECEDORES105000026605234289000127</v>
      </c>
      <c r="H1191" s="87" t="str">
        <f>VLOOKUP(Tabela1[[#This Row],[CONCATENAR]],'Classificações - Demonstrações'!$A$5:$C$46003,2,)</f>
        <v>Outras Obrigações</v>
      </c>
      <c r="I1191" s="87"/>
    </row>
    <row r="1192" spans="1:9" ht="12.75" customHeight="1" x14ac:dyDescent="0.2">
      <c r="A1192" s="94" t="s">
        <v>5355</v>
      </c>
      <c r="B1192" s="87" t="s">
        <v>575</v>
      </c>
      <c r="C1192" s="87" t="s">
        <v>578</v>
      </c>
      <c r="D1192" s="88">
        <v>370</v>
      </c>
      <c r="E1192" s="89"/>
      <c r="F1192" s="89"/>
      <c r="G1192" s="87" t="str">
        <f t="shared" si="18"/>
        <v>218810128'= DEPOSITOS RETIDOS DE FORNECEDORES105000026607451929000186</v>
      </c>
      <c r="H1192" s="87" t="str">
        <f>VLOOKUP(Tabela1[[#This Row],[CONCATENAR]],'Classificações - Demonstrações'!$A$5:$C$46003,2,)</f>
        <v>Outras Obrigações</v>
      </c>
      <c r="I1192" s="87"/>
    </row>
    <row r="1193" spans="1:9" ht="12.75" customHeight="1" x14ac:dyDescent="0.2">
      <c r="A1193" s="94" t="s">
        <v>5355</v>
      </c>
      <c r="B1193" s="87" t="s">
        <v>575</v>
      </c>
      <c r="C1193" s="87" t="s">
        <v>579</v>
      </c>
      <c r="D1193" s="88">
        <v>17073.41</v>
      </c>
      <c r="E1193" s="89"/>
      <c r="F1193" s="89"/>
      <c r="G1193" s="87" t="str">
        <f t="shared" si="18"/>
        <v>218810128'= DEPOSITOS RETIDOS DE FORNECEDORES105000026610213136000133</v>
      </c>
      <c r="H1193" s="87" t="str">
        <f>VLOOKUP(Tabela1[[#This Row],[CONCATENAR]],'Classificações - Demonstrações'!$A$5:$C$46003,2,)</f>
        <v>Outras Obrigações</v>
      </c>
      <c r="I1193" s="87"/>
    </row>
    <row r="1194" spans="1:9" ht="12.75" customHeight="1" x14ac:dyDescent="0.2">
      <c r="A1194" s="94" t="s">
        <v>5355</v>
      </c>
      <c r="B1194" s="87" t="s">
        <v>575</v>
      </c>
      <c r="C1194" s="87" t="s">
        <v>580</v>
      </c>
      <c r="D1194" s="88">
        <v>248.1</v>
      </c>
      <c r="E1194" s="89"/>
      <c r="F1194" s="89"/>
      <c r="G1194" s="87" t="str">
        <f t="shared" si="18"/>
        <v>218810128'= DEPOSITOS RETIDOS DE FORNECEDORES105000026611451053000145</v>
      </c>
      <c r="H1194" s="87" t="str">
        <f>VLOOKUP(Tabela1[[#This Row],[CONCATENAR]],'Classificações - Demonstrações'!$A$5:$C$46003,2,)</f>
        <v>Outras Obrigações</v>
      </c>
      <c r="I1194" s="87"/>
    </row>
    <row r="1195" spans="1:9" ht="12.75" customHeight="1" x14ac:dyDescent="0.2">
      <c r="A1195" s="94" t="s">
        <v>5355</v>
      </c>
      <c r="B1195" s="87" t="s">
        <v>575</v>
      </c>
      <c r="C1195" s="87" t="s">
        <v>581</v>
      </c>
      <c r="D1195" s="88">
        <v>5362.16</v>
      </c>
      <c r="E1195" s="89"/>
      <c r="F1195" s="89"/>
      <c r="G1195" s="87" t="str">
        <f t="shared" si="18"/>
        <v>218810128'= DEPOSITOS RETIDOS DE FORNECEDORES105000026614950590000128</v>
      </c>
      <c r="H1195" s="87" t="str">
        <f>VLOOKUP(Tabela1[[#This Row],[CONCATENAR]],'Classificações - Demonstrações'!$A$5:$C$46003,2,)</f>
        <v>Outras Obrigações</v>
      </c>
      <c r="I1195" s="87"/>
    </row>
    <row r="1196" spans="1:9" ht="12.75" customHeight="1" x14ac:dyDescent="0.2">
      <c r="A1196" s="94" t="s">
        <v>5355</v>
      </c>
      <c r="B1196" s="87" t="s">
        <v>575</v>
      </c>
      <c r="C1196" s="87" t="s">
        <v>532</v>
      </c>
      <c r="D1196" s="88">
        <v>0</v>
      </c>
      <c r="E1196" s="89"/>
      <c r="F1196" s="89"/>
      <c r="G1196" s="87" t="str">
        <f t="shared" si="18"/>
        <v>218810128'= DEPOSITOS RETIDOS DE FORNECEDORES105000026638503861000165</v>
      </c>
      <c r="H1196" s="87" t="str">
        <f>VLOOKUP(Tabela1[[#This Row],[CONCATENAR]],'Classificações - Demonstrações'!$A$5:$C$46003,2,)</f>
        <v>Outras Obrigações</v>
      </c>
      <c r="I1196" s="87"/>
    </row>
    <row r="1197" spans="1:9" ht="12.75" customHeight="1" x14ac:dyDescent="0.2">
      <c r="A1197" s="94" t="s">
        <v>5812</v>
      </c>
      <c r="B1197" s="87" t="s">
        <v>5813</v>
      </c>
      <c r="C1197" s="87" t="s">
        <v>423</v>
      </c>
      <c r="D1197" s="88">
        <v>136134.92000000001</v>
      </c>
      <c r="E1197" s="89"/>
      <c r="F1197" s="89"/>
      <c r="G1197" s="87" t="str">
        <f t="shared" si="18"/>
        <v>218810131'= GLOSA DE ENCARGOS TRABALHISTAS1000000000</v>
      </c>
      <c r="H1197" s="87" t="str">
        <f>VLOOKUP(Tabela1[[#This Row],[CONCATENAR]],'Classificações - Demonstrações'!$A$5:$C$46003,2,)</f>
        <v>Outras Obrigações</v>
      </c>
      <c r="I1197" s="87"/>
    </row>
    <row r="1198" spans="1:9" ht="12.75" customHeight="1" x14ac:dyDescent="0.2">
      <c r="A1198" s="94" t="s">
        <v>5812</v>
      </c>
      <c r="B1198" s="87" t="s">
        <v>5813</v>
      </c>
      <c r="C1198" s="87" t="s">
        <v>312</v>
      </c>
      <c r="D1198" s="88">
        <v>137460.91</v>
      </c>
      <c r="E1198" s="89"/>
      <c r="F1198" s="89"/>
      <c r="G1198" s="87" t="str">
        <f t="shared" si="18"/>
        <v>218810131'= GLOSA DE ENCARGOS TRABALHISTAS1050000266</v>
      </c>
      <c r="H1198" s="87" t="str">
        <f>VLOOKUP(Tabela1[[#This Row],[CONCATENAR]],'Classificações - Demonstrações'!$A$5:$C$46003,2,)</f>
        <v>Outras Obrigações</v>
      </c>
      <c r="I1198" s="87"/>
    </row>
    <row r="1199" spans="1:9" ht="12.75" customHeight="1" x14ac:dyDescent="0.2">
      <c r="A1199" s="94" t="s">
        <v>5356</v>
      </c>
      <c r="B1199" s="87" t="s">
        <v>583</v>
      </c>
      <c r="C1199" s="87" t="s">
        <v>423</v>
      </c>
      <c r="D1199" s="88">
        <v>30268.75</v>
      </c>
      <c r="E1199" s="89"/>
      <c r="F1199" s="89"/>
      <c r="G1199" s="87" t="str">
        <f t="shared" si="18"/>
        <v>218810301'= DEPOSITOS A EFETUAR POR DETERMINACAO JUDICIAL1000000000</v>
      </c>
      <c r="H1199" s="87" t="str">
        <f>VLOOKUP(Tabela1[[#This Row],[CONCATENAR]],'Classificações - Demonstrações'!$A$5:$C$46003,2,)</f>
        <v>Outras Obrigações</v>
      </c>
      <c r="I1199" s="87"/>
    </row>
    <row r="1200" spans="1:9" ht="12.75" customHeight="1" x14ac:dyDescent="0.2">
      <c r="A1200" s="94" t="s">
        <v>5357</v>
      </c>
      <c r="B1200" s="87" t="s">
        <v>584</v>
      </c>
      <c r="C1200" s="87" t="s">
        <v>423</v>
      </c>
      <c r="D1200" s="88">
        <v>0</v>
      </c>
      <c r="E1200" s="89"/>
      <c r="F1200" s="89"/>
      <c r="G1200" s="87" t="str">
        <f t="shared" si="18"/>
        <v>218810303'= DEPOSITOS A EFETUAR PARA RECURSOS JUDICIAIS1000000000</v>
      </c>
      <c r="H1200" s="87" t="str">
        <f>VLOOKUP(Tabela1[[#This Row],[CONCATENAR]],'Classificações - Demonstrações'!$A$5:$C$46003,2,)</f>
        <v>Outras Obrigações</v>
      </c>
      <c r="I1200" s="87"/>
    </row>
    <row r="1201" spans="1:9" ht="12.75" customHeight="1" x14ac:dyDescent="0.2">
      <c r="A1201" s="94" t="s">
        <v>5814</v>
      </c>
      <c r="B1201" s="87" t="s">
        <v>575</v>
      </c>
      <c r="C1201" s="87" t="s">
        <v>532</v>
      </c>
      <c r="D1201" s="88">
        <v>0</v>
      </c>
      <c r="E1201" s="89"/>
      <c r="F1201" s="89"/>
      <c r="G1201" s="87" t="str">
        <f t="shared" si="18"/>
        <v>218810406'= DEPOSITOS RETIDOS DE FORNECEDORES105000026638503861000165</v>
      </c>
      <c r="H1201" s="87" t="str">
        <f>VLOOKUP(Tabela1[[#This Row],[CONCATENAR]],'Classificações - Demonstrações'!$A$5:$C$46003,2,)</f>
        <v>Outras Obrigações</v>
      </c>
      <c r="I1201" s="87"/>
    </row>
    <row r="1202" spans="1:9" ht="12.75" customHeight="1" x14ac:dyDescent="0.2">
      <c r="A1202" s="94" t="s">
        <v>5814</v>
      </c>
      <c r="B1202" s="87" t="s">
        <v>575</v>
      </c>
      <c r="C1202" s="87" t="s">
        <v>5975</v>
      </c>
      <c r="D1202" s="88">
        <v>15696.99</v>
      </c>
      <c r="E1202" s="89"/>
      <c r="F1202" s="89"/>
      <c r="G1202" s="87" t="str">
        <f t="shared" si="18"/>
        <v>218810406'= DEPOSITOS RETIDOS DE FORNECEDORES149100000002016558000190</v>
      </c>
      <c r="H1202" s="87" t="str">
        <f>VLOOKUP(Tabela1[[#This Row],[CONCATENAR]],'Classificações - Demonstrações'!$A$5:$C$46003,2,)</f>
        <v>Outras Obrigações</v>
      </c>
      <c r="I1202" s="87"/>
    </row>
    <row r="1203" spans="1:9" ht="12.75" customHeight="1" x14ac:dyDescent="0.2">
      <c r="A1203" s="94" t="s">
        <v>5814</v>
      </c>
      <c r="B1203" s="87" t="s">
        <v>575</v>
      </c>
      <c r="C1203" s="87" t="s">
        <v>5976</v>
      </c>
      <c r="D1203" s="88">
        <v>121623.08</v>
      </c>
      <c r="E1203" s="89"/>
      <c r="F1203" s="89"/>
      <c r="G1203" s="87" t="str">
        <f t="shared" si="18"/>
        <v>218810406'= DEPOSITOS RETIDOS DE FORNECEDORES149100000007028841000156</v>
      </c>
      <c r="H1203" s="87" t="str">
        <f>VLOOKUP(Tabela1[[#This Row],[CONCATENAR]],'Classificações - Demonstrações'!$A$5:$C$46003,2,)</f>
        <v>Outras Obrigações</v>
      </c>
      <c r="I1203" s="87"/>
    </row>
    <row r="1204" spans="1:9" ht="12.75" customHeight="1" x14ac:dyDescent="0.2">
      <c r="A1204" s="94" t="s">
        <v>5814</v>
      </c>
      <c r="B1204" s="87" t="s">
        <v>575</v>
      </c>
      <c r="C1204" s="87" t="s">
        <v>5977</v>
      </c>
      <c r="D1204" s="88">
        <v>18817.46</v>
      </c>
      <c r="E1204" s="89"/>
      <c r="F1204" s="89"/>
      <c r="G1204" s="87" t="str">
        <f t="shared" si="18"/>
        <v>218810406'= DEPOSITOS RETIDOS DE FORNECEDORES149100000007710046000143</v>
      </c>
      <c r="H1204" s="87" t="str">
        <f>VLOOKUP(Tabela1[[#This Row],[CONCATENAR]],'Classificações - Demonstrações'!$A$5:$C$46003,2,)</f>
        <v>Outras Obrigações</v>
      </c>
      <c r="I1204" s="87"/>
    </row>
    <row r="1205" spans="1:9" ht="12.75" customHeight="1" x14ac:dyDescent="0.2">
      <c r="A1205" s="94" t="s">
        <v>5814</v>
      </c>
      <c r="B1205" s="87" t="s">
        <v>575</v>
      </c>
      <c r="C1205" s="87" t="s">
        <v>5978</v>
      </c>
      <c r="D1205" s="88">
        <v>5635.53</v>
      </c>
      <c r="E1205" s="89"/>
      <c r="F1205" s="89"/>
      <c r="G1205" s="87" t="str">
        <f t="shared" si="18"/>
        <v>218810406'= DEPOSITOS RETIDOS DE FORNECEDORES149100000009632388000118</v>
      </c>
      <c r="H1205" s="87" t="str">
        <f>VLOOKUP(Tabela1[[#This Row],[CONCATENAR]],'Classificações - Demonstrações'!$A$5:$C$46003,2,)</f>
        <v>Outras Obrigações</v>
      </c>
      <c r="I1205" s="87"/>
    </row>
    <row r="1206" spans="1:9" ht="12.75" customHeight="1" x14ac:dyDescent="0.2">
      <c r="A1206" s="94" t="s">
        <v>5814</v>
      </c>
      <c r="B1206" s="87" t="s">
        <v>575</v>
      </c>
      <c r="C1206" s="87" t="s">
        <v>5979</v>
      </c>
      <c r="D1206" s="88">
        <v>87101.88</v>
      </c>
      <c r="E1206" s="89"/>
      <c r="F1206" s="89"/>
      <c r="G1206" s="87" t="str">
        <f t="shared" si="18"/>
        <v>218810406'= DEPOSITOS RETIDOS DE FORNECEDORES149100000010733675000101</v>
      </c>
      <c r="H1206" s="87" t="str">
        <f>VLOOKUP(Tabela1[[#This Row],[CONCATENAR]],'Classificações - Demonstrações'!$A$5:$C$46003,2,)</f>
        <v>Outras Obrigações</v>
      </c>
      <c r="I1206" s="87"/>
    </row>
    <row r="1207" spans="1:9" s="87" customFormat="1" ht="12.75" customHeight="1" x14ac:dyDescent="0.2">
      <c r="A1207" s="94" t="s">
        <v>5814</v>
      </c>
      <c r="B1207" s="87" t="s">
        <v>575</v>
      </c>
      <c r="C1207" s="87" t="s">
        <v>5765</v>
      </c>
      <c r="D1207" s="88">
        <v>2205.16</v>
      </c>
      <c r="E1207" s="89"/>
      <c r="F1207" s="89"/>
      <c r="G1207" s="87" t="str">
        <f t="shared" si="18"/>
        <v>218810406'= DEPOSITOS RETIDOS DE FORNECEDORES149100000010992676000162</v>
      </c>
      <c r="H1207" s="87" t="str">
        <f>VLOOKUP(Tabela1[[#This Row],[CONCATENAR]],'Classificações - Demonstrações'!$A$5:$C$46003,2,)</f>
        <v>Outras Obrigações</v>
      </c>
    </row>
    <row r="1208" spans="1:9" ht="12.75" customHeight="1" x14ac:dyDescent="0.2">
      <c r="A1208" s="94" t="s">
        <v>5814</v>
      </c>
      <c r="B1208" s="87" t="s">
        <v>575</v>
      </c>
      <c r="C1208" s="87" t="s">
        <v>5980</v>
      </c>
      <c r="D1208" s="88">
        <v>14383.98</v>
      </c>
      <c r="E1208" s="89"/>
      <c r="F1208" s="89"/>
      <c r="G1208" s="87" t="str">
        <f t="shared" si="18"/>
        <v>218810406'= DEPOSITOS RETIDOS DE FORNECEDORES149100000011395635000151</v>
      </c>
      <c r="H1208" s="87" t="str">
        <f>VLOOKUP(Tabela1[[#This Row],[CONCATENAR]],'Classificações - Demonstrações'!$A$5:$C$46003,2,)</f>
        <v>Outras Obrigações</v>
      </c>
      <c r="I1208" s="87"/>
    </row>
    <row r="1209" spans="1:9" ht="12.75" customHeight="1" x14ac:dyDescent="0.2">
      <c r="A1209" s="94" t="s">
        <v>5814</v>
      </c>
      <c r="B1209" s="87" t="s">
        <v>575</v>
      </c>
      <c r="C1209" s="87" t="s">
        <v>5981</v>
      </c>
      <c r="D1209" s="88">
        <v>84949.26</v>
      </c>
      <c r="E1209" s="89"/>
      <c r="F1209" s="89"/>
      <c r="G1209" s="87" t="str">
        <f t="shared" si="18"/>
        <v>218810406'= DEPOSITOS RETIDOS DE FORNECEDORES149100000014000561000103</v>
      </c>
      <c r="H1209" s="87" t="str">
        <f>VLOOKUP(Tabela1[[#This Row],[CONCATENAR]],'Classificações - Demonstrações'!$A$5:$C$46003,2,)</f>
        <v>Outras Obrigações</v>
      </c>
      <c r="I1209" s="87"/>
    </row>
    <row r="1210" spans="1:9" ht="12.75" customHeight="1" x14ac:dyDescent="0.2">
      <c r="A1210" s="94" t="s">
        <v>5814</v>
      </c>
      <c r="B1210" s="87" t="s">
        <v>575</v>
      </c>
      <c r="C1210" s="87" t="s">
        <v>5766</v>
      </c>
      <c r="D1210" s="88">
        <v>46534.720000000001</v>
      </c>
      <c r="E1210" s="89"/>
      <c r="F1210" s="89"/>
      <c r="G1210" s="87" t="str">
        <f t="shared" si="18"/>
        <v>218810406'= DEPOSITOS RETIDOS DE FORNECEDORES149100000020477335000102</v>
      </c>
      <c r="H1210" s="87" t="str">
        <f>VLOOKUP(Tabela1[[#This Row],[CONCATENAR]],'Classificações - Demonstrações'!$A$5:$C$46003,2,)</f>
        <v>Outras Obrigações</v>
      </c>
      <c r="I1210" s="87"/>
    </row>
    <row r="1211" spans="1:9" ht="12.75" customHeight="1" x14ac:dyDescent="0.2">
      <c r="A1211" s="94" t="s">
        <v>5814</v>
      </c>
      <c r="B1211" s="87" t="s">
        <v>575</v>
      </c>
      <c r="C1211" s="87" t="s">
        <v>5982</v>
      </c>
      <c r="D1211" s="88">
        <v>12721.3</v>
      </c>
      <c r="E1211" s="89"/>
      <c r="F1211" s="89"/>
      <c r="G1211" s="87" t="str">
        <f t="shared" si="18"/>
        <v>218810406'= DEPOSITOS RETIDOS DE FORNECEDORES149100000029912565000127</v>
      </c>
      <c r="H1211" s="87" t="str">
        <f>VLOOKUP(Tabela1[[#This Row],[CONCATENAR]],'Classificações - Demonstrações'!$A$5:$C$46003,2,)</f>
        <v>Outras Obrigações</v>
      </c>
      <c r="I1211" s="87"/>
    </row>
    <row r="1212" spans="1:9" ht="12.75" customHeight="1" x14ac:dyDescent="0.2">
      <c r="A1212" s="94" t="s">
        <v>5814</v>
      </c>
      <c r="B1212" s="87" t="s">
        <v>575</v>
      </c>
      <c r="C1212" s="87" t="s">
        <v>5767</v>
      </c>
      <c r="D1212" s="88">
        <v>28177.7</v>
      </c>
      <c r="E1212" s="89"/>
      <c r="F1212" s="89"/>
      <c r="G1212" s="87" t="str">
        <f t="shared" si="18"/>
        <v>218810406'= DEPOSITOS RETIDOS DE FORNECEDORES149100000035930513000186</v>
      </c>
      <c r="H1212" s="87" t="str">
        <f>VLOOKUP(Tabela1[[#This Row],[CONCATENAR]],'Classificações - Demonstrações'!$A$5:$C$46003,2,)</f>
        <v>Outras Obrigações</v>
      </c>
      <c r="I1212" s="87"/>
    </row>
    <row r="1213" spans="1:9" ht="12.75" customHeight="1" x14ac:dyDescent="0.2">
      <c r="A1213" s="94" t="s">
        <v>5814</v>
      </c>
      <c r="B1213" s="87" t="s">
        <v>575</v>
      </c>
      <c r="C1213" s="87" t="s">
        <v>5983</v>
      </c>
      <c r="D1213" s="88">
        <v>3767.91</v>
      </c>
      <c r="E1213" s="89"/>
      <c r="F1213" s="89"/>
      <c r="G1213" s="87" t="str">
        <f t="shared" si="18"/>
        <v>218810406'= DEPOSITOS RETIDOS DE FORNECEDORES149100000038503861000165</v>
      </c>
      <c r="H1213" s="87" t="str">
        <f>VLOOKUP(Tabela1[[#This Row],[CONCATENAR]],'Classificações - Demonstrações'!$A$5:$C$46003,2,)</f>
        <v>Outras Obrigações</v>
      </c>
      <c r="I1213" s="87"/>
    </row>
    <row r="1214" spans="1:9" ht="12.75" customHeight="1" x14ac:dyDescent="0.2">
      <c r="A1214" s="94" t="s">
        <v>5358</v>
      </c>
      <c r="B1214" s="87" t="s">
        <v>585</v>
      </c>
      <c r="C1214" s="87" t="s">
        <v>4803</v>
      </c>
      <c r="D1214" s="88">
        <v>0</v>
      </c>
      <c r="E1214" s="89"/>
      <c r="F1214" s="89"/>
      <c r="G1214" s="87" t="str">
        <f t="shared" si="18"/>
        <v>218810447'= DEPOSITOS POR DEVOLUCAO DE VALORES NAO RECLAM149100000000000000000191</v>
      </c>
      <c r="H1214" s="87" t="str">
        <f>VLOOKUP(Tabela1[[#This Row],[CONCATENAR]],'Classificações - Demonstrações'!$A$5:$C$46003,2,)</f>
        <v>Outras Obrigações</v>
      </c>
      <c r="I1214" s="87"/>
    </row>
    <row r="1215" spans="1:9" ht="12.75" customHeight="1" x14ac:dyDescent="0.2">
      <c r="A1215" s="94" t="s">
        <v>5358</v>
      </c>
      <c r="B1215" s="87" t="s">
        <v>585</v>
      </c>
      <c r="C1215" s="87" t="s">
        <v>6293</v>
      </c>
      <c r="D1215" s="88">
        <v>0</v>
      </c>
      <c r="E1215" s="89"/>
      <c r="F1215" s="89"/>
      <c r="G1215" s="87" t="str">
        <f t="shared" si="18"/>
        <v>218810447'= DEPOSITOS POR DEVOLUCAO DE VALORES NAO RECLAM149100000010264663000177</v>
      </c>
      <c r="H1215" s="87" t="str">
        <f>VLOOKUP(Tabela1[[#This Row],[CONCATENAR]],'Classificações - Demonstrações'!$A$5:$C$46003,2,)</f>
        <v>Outras Obrigações</v>
      </c>
      <c r="I1215" s="87"/>
    </row>
    <row r="1216" spans="1:9" ht="12.75" customHeight="1" x14ac:dyDescent="0.2">
      <c r="A1216" s="94" t="s">
        <v>5358</v>
      </c>
      <c r="B1216" s="87" t="s">
        <v>585</v>
      </c>
      <c r="C1216" s="87" t="s">
        <v>6294</v>
      </c>
      <c r="D1216" s="88">
        <v>0</v>
      </c>
      <c r="E1216" s="89"/>
      <c r="F1216" s="89"/>
      <c r="G1216" s="87" t="str">
        <f t="shared" si="18"/>
        <v>218810447'= DEPOSITOS POR DEVOLUCAO DE VALORES NAO RECLAM149100000018310490747</v>
      </c>
      <c r="H1216" s="87" t="str">
        <f>VLOOKUP(Tabela1[[#This Row],[CONCATENAR]],'Classificações - Demonstrações'!$A$5:$C$46003,2,)</f>
        <v>Outras Obrigações</v>
      </c>
      <c r="I1216" s="87"/>
    </row>
    <row r="1217" spans="1:9" ht="12.75" customHeight="1" x14ac:dyDescent="0.2">
      <c r="A1217" s="94" t="s">
        <v>5358</v>
      </c>
      <c r="B1217" s="87" t="s">
        <v>585</v>
      </c>
      <c r="C1217" s="87" t="s">
        <v>6295</v>
      </c>
      <c r="D1217" s="88">
        <v>0</v>
      </c>
      <c r="E1217" s="89"/>
      <c r="F1217" s="89"/>
      <c r="G1217" s="87" t="str">
        <f t="shared" si="18"/>
        <v>218810447'= DEPOSITOS POR DEVOLUCAO DE VALORES NAO RECLAM149100000019828259796</v>
      </c>
      <c r="H1217" s="87" t="str">
        <f>VLOOKUP(Tabela1[[#This Row],[CONCATENAR]],'Classificações - Demonstrações'!$A$5:$C$46003,2,)</f>
        <v>Outras Obrigações</v>
      </c>
      <c r="I1217" s="87"/>
    </row>
    <row r="1218" spans="1:9" ht="12.75" customHeight="1" x14ac:dyDescent="0.2">
      <c r="A1218" s="94" t="s">
        <v>5358</v>
      </c>
      <c r="B1218" s="87" t="s">
        <v>585</v>
      </c>
      <c r="C1218" s="87" t="s">
        <v>6296</v>
      </c>
      <c r="D1218" s="88">
        <v>0</v>
      </c>
      <c r="E1218" s="89"/>
      <c r="F1218" s="89"/>
      <c r="G1218" s="87" t="str">
        <f t="shared" si="18"/>
        <v>218810447'= DEPOSITOS POR DEVOLUCAO DE VALORES NAO RECLAM149100000063895234672</v>
      </c>
      <c r="H1218" s="87" t="str">
        <f>VLOOKUP(Tabela1[[#This Row],[CONCATENAR]],'Classificações - Demonstrações'!$A$5:$C$46003,2,)</f>
        <v>Outras Obrigações</v>
      </c>
      <c r="I1218" s="87"/>
    </row>
    <row r="1219" spans="1:9" ht="12.75" customHeight="1" x14ac:dyDescent="0.2">
      <c r="A1219" s="94" t="s">
        <v>5358</v>
      </c>
      <c r="B1219" s="87" t="s">
        <v>585</v>
      </c>
      <c r="C1219" s="87" t="s">
        <v>6297</v>
      </c>
      <c r="D1219" s="88">
        <v>0</v>
      </c>
      <c r="E1219" s="89"/>
      <c r="F1219" s="89"/>
      <c r="G1219" s="87" t="str">
        <f t="shared" si="18"/>
        <v>218810447'= DEPOSITOS POR DEVOLUCAO DE VALORES NAO RECLAM149100000090400888000142</v>
      </c>
      <c r="H1219" s="87" t="str">
        <f>VLOOKUP(Tabela1[[#This Row],[CONCATENAR]],'Classificações - Demonstrações'!$A$5:$C$46003,2,)</f>
        <v>Outras Obrigações</v>
      </c>
      <c r="I1219" s="87"/>
    </row>
    <row r="1220" spans="1:9" ht="12.75" customHeight="1" x14ac:dyDescent="0.2">
      <c r="A1220" s="94" t="s">
        <v>5359</v>
      </c>
      <c r="B1220" s="87" t="s">
        <v>586</v>
      </c>
      <c r="C1220" s="87" t="s">
        <v>438</v>
      </c>
      <c r="D1220" s="88">
        <v>1543.77</v>
      </c>
      <c r="E1220" s="89"/>
      <c r="F1220" s="89"/>
      <c r="G1220" s="87" t="str">
        <f t="shared" si="18"/>
        <v>218910100'= INDENIZACOES, RESTITUICOES E COMPENSACOES100000000000000000000191</v>
      </c>
      <c r="H1220" s="87" t="str">
        <f>VLOOKUP(Tabela1[[#This Row],[CONCATENAR]],'Classificações - Demonstrações'!$A$5:$C$46003,2,)</f>
        <v>Outras Obrigações</v>
      </c>
      <c r="I1220" s="87"/>
    </row>
    <row r="1221" spans="1:9" ht="12.75" customHeight="1" x14ac:dyDescent="0.2">
      <c r="A1221" s="94" t="s">
        <v>5359</v>
      </c>
      <c r="B1221" s="87" t="s">
        <v>586</v>
      </c>
      <c r="C1221" s="87" t="s">
        <v>428</v>
      </c>
      <c r="D1221" s="88">
        <v>0.01</v>
      </c>
      <c r="E1221" s="89"/>
      <c r="F1221" s="89"/>
      <c r="G1221" s="87" t="str">
        <f t="shared" ref="G1221:G1284" si="19">CONCATENATE(A1221,B1221,C1221)</f>
        <v>218910100'= INDENIZACOES, RESTITUICOES E COMPENSACOES1000000000PF9999905</v>
      </c>
      <c r="H1221" s="87" t="str">
        <f>VLOOKUP(Tabela1[[#This Row],[CONCATENAR]],'Classificações - Demonstrações'!$A$5:$C$46003,2,)</f>
        <v>Outras Obrigações</v>
      </c>
      <c r="I1221" s="87"/>
    </row>
    <row r="1222" spans="1:9" ht="12.75" customHeight="1" x14ac:dyDescent="0.2">
      <c r="A1222" s="94" t="s">
        <v>5359</v>
      </c>
      <c r="B1222" s="87" t="s">
        <v>586</v>
      </c>
      <c r="C1222" s="87" t="s">
        <v>512</v>
      </c>
      <c r="D1222" s="88">
        <v>0.03</v>
      </c>
      <c r="E1222" s="89"/>
      <c r="F1222" s="89"/>
      <c r="G1222" s="87" t="str">
        <f t="shared" si="19"/>
        <v>218910100'= INDENIZACOES, RESTITUICOES E COMPENSACOES1000000000PF9999930</v>
      </c>
      <c r="H1222" s="87" t="str">
        <f>VLOOKUP(Tabela1[[#This Row],[CONCATENAR]],'Classificações - Demonstrações'!$A$5:$C$46003,2,)</f>
        <v>Outras Obrigações</v>
      </c>
      <c r="I1222" s="87"/>
    </row>
    <row r="1223" spans="1:9" ht="12.75" customHeight="1" x14ac:dyDescent="0.2">
      <c r="A1223" s="94" t="s">
        <v>5359</v>
      </c>
      <c r="B1223" s="87" t="s">
        <v>586</v>
      </c>
      <c r="C1223" s="87" t="s">
        <v>2</v>
      </c>
      <c r="D1223" s="88">
        <v>237.13</v>
      </c>
      <c r="E1223" s="89"/>
      <c r="F1223" s="89"/>
      <c r="G1223" s="87" t="str">
        <f t="shared" si="19"/>
        <v>218910100'= INDENIZACOES, RESTITUICOES E COMPENSACOES105000026600000000000191</v>
      </c>
      <c r="H1223" s="87" t="str">
        <f>VLOOKUP(Tabela1[[#This Row],[CONCATENAR]],'Classificações - Demonstrações'!$A$5:$C$46003,2,)</f>
        <v>Outras Obrigações</v>
      </c>
      <c r="I1223" s="87"/>
    </row>
    <row r="1224" spans="1:9" ht="12.75" customHeight="1" x14ac:dyDescent="0.2">
      <c r="A1224" s="94" t="s">
        <v>5359</v>
      </c>
      <c r="B1224" s="87" t="s">
        <v>586</v>
      </c>
      <c r="C1224" s="87" t="s">
        <v>43</v>
      </c>
      <c r="D1224" s="88">
        <v>0.1</v>
      </c>
      <c r="E1224" s="89"/>
      <c r="F1224" s="89"/>
      <c r="G1224" s="87" t="str">
        <f t="shared" si="19"/>
        <v>218910100'= INDENIZACOES, RESTITUICOES E COMPENSACOESPF9999905</v>
      </c>
      <c r="H1224" s="87" t="str">
        <f>VLOOKUP(Tabela1[[#This Row],[CONCATENAR]],'Classificações - Demonstrações'!$A$5:$C$46003,2,)</f>
        <v>Outras Obrigações</v>
      </c>
      <c r="I1224" s="87"/>
    </row>
    <row r="1225" spans="1:9" ht="12.75" customHeight="1" x14ac:dyDescent="0.2">
      <c r="A1225" s="94" t="s">
        <v>5360</v>
      </c>
      <c r="B1225" s="87" t="s">
        <v>587</v>
      </c>
      <c r="C1225" s="87" t="s">
        <v>588</v>
      </c>
      <c r="D1225" s="88">
        <v>0</v>
      </c>
      <c r="E1225" s="89"/>
      <c r="F1225" s="89"/>
      <c r="G1225" s="87" t="str">
        <f t="shared" si="19"/>
        <v>218910200'= DIARIAS A PAGAR100000000000085062723</v>
      </c>
      <c r="H1225" s="87" t="str">
        <f>VLOOKUP(Tabela1[[#This Row],[CONCATENAR]],'Classificações - Demonstrações'!$A$5:$C$46003,2,)</f>
        <v>Outras Obrigações</v>
      </c>
      <c r="I1225" s="87"/>
    </row>
    <row r="1226" spans="1:9" ht="12.75" customHeight="1" x14ac:dyDescent="0.2">
      <c r="A1226" s="94" t="s">
        <v>5360</v>
      </c>
      <c r="B1226" s="87" t="s">
        <v>587</v>
      </c>
      <c r="C1226" s="87" t="s">
        <v>589</v>
      </c>
      <c r="D1226" s="88">
        <v>704</v>
      </c>
      <c r="E1226" s="89"/>
      <c r="F1226" s="89"/>
      <c r="G1226" s="87" t="str">
        <f t="shared" si="19"/>
        <v>218910200'= DIARIAS A PAGAR100000000000345967712</v>
      </c>
      <c r="H1226" s="87" t="str">
        <f>VLOOKUP(Tabela1[[#This Row],[CONCATENAR]],'Classificações - Demonstrações'!$A$5:$C$46003,2,)</f>
        <v>Outras Obrigações</v>
      </c>
      <c r="I1226" s="87"/>
    </row>
    <row r="1227" spans="1:9" ht="12.75" customHeight="1" x14ac:dyDescent="0.2">
      <c r="A1227" s="94" t="s">
        <v>5360</v>
      </c>
      <c r="B1227" s="87" t="s">
        <v>587</v>
      </c>
      <c r="C1227" s="87" t="s">
        <v>4647</v>
      </c>
      <c r="D1227" s="88">
        <v>0</v>
      </c>
      <c r="E1227" s="89"/>
      <c r="F1227" s="89"/>
      <c r="G1227" s="87" t="str">
        <f t="shared" si="19"/>
        <v>218910200'= DIARIAS A PAGAR100000000001403752524</v>
      </c>
      <c r="H1227" s="87" t="str">
        <f>VLOOKUP(Tabela1[[#This Row],[CONCATENAR]],'Classificações - Demonstrações'!$A$5:$C$46003,2,)</f>
        <v>Outras Obrigações</v>
      </c>
      <c r="I1227" s="87"/>
    </row>
    <row r="1228" spans="1:9" ht="12.75" customHeight="1" x14ac:dyDescent="0.2">
      <c r="A1228" s="94" t="s">
        <v>5360</v>
      </c>
      <c r="B1228" s="87" t="s">
        <v>587</v>
      </c>
      <c r="C1228" s="87" t="s">
        <v>590</v>
      </c>
      <c r="D1228" s="88">
        <v>0</v>
      </c>
      <c r="E1228" s="89"/>
      <c r="F1228" s="89"/>
      <c r="G1228" s="87" t="str">
        <f t="shared" si="19"/>
        <v>218910200'= DIARIAS A PAGAR100000000001406066702</v>
      </c>
      <c r="H1228" s="87" t="str">
        <f>VLOOKUP(Tabela1[[#This Row],[CONCATENAR]],'Classificações - Demonstrações'!$A$5:$C$46003,2,)</f>
        <v>Outras Obrigações</v>
      </c>
      <c r="I1228" s="87"/>
    </row>
    <row r="1229" spans="1:9" ht="12.75" customHeight="1" x14ac:dyDescent="0.2">
      <c r="A1229" s="94" t="s">
        <v>5360</v>
      </c>
      <c r="B1229" s="87" t="s">
        <v>587</v>
      </c>
      <c r="C1229" s="87" t="s">
        <v>591</v>
      </c>
      <c r="D1229" s="88">
        <v>0</v>
      </c>
      <c r="E1229" s="89"/>
      <c r="F1229" s="89"/>
      <c r="G1229" s="87" t="str">
        <f t="shared" si="19"/>
        <v>218910200'= DIARIAS A PAGAR100000000001455185744</v>
      </c>
      <c r="H1229" s="87" t="str">
        <f>VLOOKUP(Tabela1[[#This Row],[CONCATENAR]],'Classificações - Demonstrações'!$A$5:$C$46003,2,)</f>
        <v>Outras Obrigações</v>
      </c>
      <c r="I1229" s="87"/>
    </row>
    <row r="1230" spans="1:9" ht="12.75" customHeight="1" x14ac:dyDescent="0.2">
      <c r="A1230" s="94" t="s">
        <v>5360</v>
      </c>
      <c r="B1230" s="87" t="s">
        <v>587</v>
      </c>
      <c r="C1230" s="87" t="s">
        <v>5565</v>
      </c>
      <c r="D1230" s="88">
        <v>0</v>
      </c>
      <c r="E1230" s="89"/>
      <c r="F1230" s="89"/>
      <c r="G1230" s="87" t="str">
        <f t="shared" si="19"/>
        <v>218910200'= DIARIAS A PAGAR100000000001462772790</v>
      </c>
      <c r="H1230" s="87" t="str">
        <f>VLOOKUP(Tabela1[[#This Row],[CONCATENAR]],'Classificações - Demonstrações'!$A$5:$C$46003,2,)</f>
        <v>Outras Obrigações</v>
      </c>
      <c r="I1230" s="87"/>
    </row>
    <row r="1231" spans="1:9" ht="12.75" customHeight="1" x14ac:dyDescent="0.2">
      <c r="A1231" s="94" t="s">
        <v>5360</v>
      </c>
      <c r="B1231" s="87" t="s">
        <v>587</v>
      </c>
      <c r="C1231" s="87" t="s">
        <v>6298</v>
      </c>
      <c r="D1231" s="88">
        <v>0</v>
      </c>
      <c r="E1231" s="89"/>
      <c r="F1231" s="89"/>
      <c r="G1231" s="87" t="str">
        <f t="shared" si="19"/>
        <v>218910200'= DIARIAS A PAGAR100000000001617762725</v>
      </c>
      <c r="H1231" s="87" t="str">
        <f>VLOOKUP(Tabela1[[#This Row],[CONCATENAR]],'Classificações - Demonstrações'!$A$5:$C$46003,2,)</f>
        <v>Outras Obrigações</v>
      </c>
      <c r="I1231" s="87"/>
    </row>
    <row r="1232" spans="1:9" ht="12.75" customHeight="1" x14ac:dyDescent="0.2">
      <c r="A1232" s="94" t="s">
        <v>5360</v>
      </c>
      <c r="B1232" s="87" t="s">
        <v>587</v>
      </c>
      <c r="C1232" s="87" t="s">
        <v>4648</v>
      </c>
      <c r="D1232" s="88">
        <v>0</v>
      </c>
      <c r="E1232" s="89"/>
      <c r="F1232" s="89"/>
      <c r="G1232" s="87" t="str">
        <f t="shared" si="19"/>
        <v>218910200'= DIARIAS A PAGAR100000000001652326766</v>
      </c>
      <c r="H1232" s="87" t="str">
        <f>VLOOKUP(Tabela1[[#This Row],[CONCATENAR]],'Classificações - Demonstrações'!$A$5:$C$46003,2,)</f>
        <v>Outras Obrigações</v>
      </c>
      <c r="I1232" s="87"/>
    </row>
    <row r="1233" spans="1:9" ht="12.75" customHeight="1" x14ac:dyDescent="0.2">
      <c r="A1233" s="94" t="s">
        <v>5360</v>
      </c>
      <c r="B1233" s="87" t="s">
        <v>587</v>
      </c>
      <c r="C1233" s="87" t="s">
        <v>592</v>
      </c>
      <c r="D1233" s="88">
        <v>0</v>
      </c>
      <c r="E1233" s="89"/>
      <c r="F1233" s="89"/>
      <c r="G1233" s="87" t="str">
        <f t="shared" si="19"/>
        <v>218910200'= DIARIAS A PAGAR100000000001851133704</v>
      </c>
      <c r="H1233" s="87" t="str">
        <f>VLOOKUP(Tabela1[[#This Row],[CONCATENAR]],'Classificações - Demonstrações'!$A$5:$C$46003,2,)</f>
        <v>Outras Obrigações</v>
      </c>
      <c r="I1233" s="87"/>
    </row>
    <row r="1234" spans="1:9" ht="12.75" customHeight="1" x14ac:dyDescent="0.2">
      <c r="A1234" s="94" t="s">
        <v>5360</v>
      </c>
      <c r="B1234" s="87" t="s">
        <v>587</v>
      </c>
      <c r="C1234" s="87" t="s">
        <v>593</v>
      </c>
      <c r="D1234" s="88">
        <v>0</v>
      </c>
      <c r="E1234" s="89"/>
      <c r="F1234" s="89"/>
      <c r="G1234" s="87" t="str">
        <f t="shared" si="19"/>
        <v>218910200'= DIARIAS A PAGAR100000000002051085714</v>
      </c>
      <c r="H1234" s="87" t="str">
        <f>VLOOKUP(Tabela1[[#This Row],[CONCATENAR]],'Classificações - Demonstrações'!$A$5:$C$46003,2,)</f>
        <v>Outras Obrigações</v>
      </c>
      <c r="I1234" s="87"/>
    </row>
    <row r="1235" spans="1:9" ht="12.75" customHeight="1" x14ac:dyDescent="0.2">
      <c r="A1235" s="94" t="s">
        <v>5360</v>
      </c>
      <c r="B1235" s="87" t="s">
        <v>587</v>
      </c>
      <c r="C1235" s="87" t="s">
        <v>594</v>
      </c>
      <c r="D1235" s="88">
        <v>0</v>
      </c>
      <c r="E1235" s="89"/>
      <c r="F1235" s="89"/>
      <c r="G1235" s="87" t="str">
        <f t="shared" si="19"/>
        <v>218910200'= DIARIAS A PAGAR100000000002155157738</v>
      </c>
      <c r="H1235" s="87" t="str">
        <f>VLOOKUP(Tabela1[[#This Row],[CONCATENAR]],'Classificações - Demonstrações'!$A$5:$C$46003,2,)</f>
        <v>Outras Obrigações</v>
      </c>
      <c r="I1235" s="87"/>
    </row>
    <row r="1236" spans="1:9" ht="12.75" customHeight="1" x14ac:dyDescent="0.2">
      <c r="A1236" s="94" t="s">
        <v>5360</v>
      </c>
      <c r="B1236" s="87" t="s">
        <v>587</v>
      </c>
      <c r="C1236" s="87" t="s">
        <v>5680</v>
      </c>
      <c r="D1236" s="88">
        <v>0</v>
      </c>
      <c r="E1236" s="89"/>
      <c r="F1236" s="89"/>
      <c r="G1236" s="87" t="str">
        <f t="shared" si="19"/>
        <v>218910200'= DIARIAS A PAGAR100000000002483382770</v>
      </c>
      <c r="H1236" s="87" t="str">
        <f>VLOOKUP(Tabela1[[#This Row],[CONCATENAR]],'Classificações - Demonstrações'!$A$5:$C$46003,2,)</f>
        <v>Outras Obrigações</v>
      </c>
      <c r="I1236" s="87"/>
    </row>
    <row r="1237" spans="1:9" ht="12.75" customHeight="1" x14ac:dyDescent="0.2">
      <c r="A1237" s="94" t="s">
        <v>5360</v>
      </c>
      <c r="B1237" s="87" t="s">
        <v>587</v>
      </c>
      <c r="C1237" s="87" t="s">
        <v>4649</v>
      </c>
      <c r="D1237" s="88">
        <v>0</v>
      </c>
      <c r="E1237" s="89"/>
      <c r="F1237" s="89"/>
      <c r="G1237" s="87" t="str">
        <f t="shared" si="19"/>
        <v>218910200'= DIARIAS A PAGAR100000000002505136769</v>
      </c>
      <c r="H1237" s="87" t="str">
        <f>VLOOKUP(Tabela1[[#This Row],[CONCATENAR]],'Classificações - Demonstrações'!$A$5:$C$46003,2,)</f>
        <v>Outras Obrigações</v>
      </c>
      <c r="I1237" s="87"/>
    </row>
    <row r="1238" spans="1:9" ht="12.75" customHeight="1" x14ac:dyDescent="0.2">
      <c r="A1238" s="94" t="s">
        <v>5360</v>
      </c>
      <c r="B1238" s="87" t="s">
        <v>587</v>
      </c>
      <c r="C1238" s="87" t="s">
        <v>6299</v>
      </c>
      <c r="D1238" s="88">
        <v>0</v>
      </c>
      <c r="E1238" s="89"/>
      <c r="F1238" s="89"/>
      <c r="G1238" s="87" t="str">
        <f t="shared" si="19"/>
        <v>218910200'= DIARIAS A PAGAR100000000002539202721</v>
      </c>
      <c r="H1238" s="87" t="str">
        <f>VLOOKUP(Tabela1[[#This Row],[CONCATENAR]],'Classificações - Demonstrações'!$A$5:$C$46003,2,)</f>
        <v>Outras Obrigações</v>
      </c>
      <c r="I1238" s="87"/>
    </row>
    <row r="1239" spans="1:9" ht="12.75" customHeight="1" x14ac:dyDescent="0.2">
      <c r="A1239" s="94" t="s">
        <v>5360</v>
      </c>
      <c r="B1239" s="87" t="s">
        <v>587</v>
      </c>
      <c r="C1239" s="87" t="s">
        <v>4804</v>
      </c>
      <c r="D1239" s="88">
        <v>0</v>
      </c>
      <c r="E1239" s="89"/>
      <c r="F1239" s="89"/>
      <c r="G1239" s="87" t="str">
        <f t="shared" si="19"/>
        <v>218910200'= DIARIAS A PAGAR100000000003018866797</v>
      </c>
      <c r="H1239" s="87" t="str">
        <f>VLOOKUP(Tabela1[[#This Row],[CONCATENAR]],'Classificações - Demonstrações'!$A$5:$C$46003,2,)</f>
        <v>Outras Obrigações</v>
      </c>
      <c r="I1239" s="87"/>
    </row>
    <row r="1240" spans="1:9" ht="12.75" customHeight="1" x14ac:dyDescent="0.2">
      <c r="A1240" s="94" t="s">
        <v>5360</v>
      </c>
      <c r="B1240" s="87" t="s">
        <v>587</v>
      </c>
      <c r="C1240" s="87" t="s">
        <v>595</v>
      </c>
      <c r="D1240" s="88">
        <v>0</v>
      </c>
      <c r="E1240" s="89"/>
      <c r="F1240" s="89"/>
      <c r="G1240" s="87" t="str">
        <f t="shared" si="19"/>
        <v>218910200'= DIARIAS A PAGAR100000000003248614781</v>
      </c>
      <c r="H1240" s="87" t="str">
        <f>VLOOKUP(Tabela1[[#This Row],[CONCATENAR]],'Classificações - Demonstrações'!$A$5:$C$46003,2,)</f>
        <v>Outras Obrigações</v>
      </c>
      <c r="I1240" s="87"/>
    </row>
    <row r="1241" spans="1:9" ht="12.75" customHeight="1" x14ac:dyDescent="0.2">
      <c r="A1241" s="94" t="s">
        <v>5360</v>
      </c>
      <c r="B1241" s="87" t="s">
        <v>587</v>
      </c>
      <c r="C1241" s="87" t="s">
        <v>596</v>
      </c>
      <c r="D1241" s="88">
        <v>0</v>
      </c>
      <c r="E1241" s="89"/>
      <c r="F1241" s="89"/>
      <c r="G1241" s="87" t="str">
        <f t="shared" si="19"/>
        <v>218910200'= DIARIAS A PAGAR100000000003318464708</v>
      </c>
      <c r="H1241" s="87" t="str">
        <f>VLOOKUP(Tabela1[[#This Row],[CONCATENAR]],'Classificações - Demonstrações'!$A$5:$C$46003,2,)</f>
        <v>Outras Obrigações</v>
      </c>
      <c r="I1241" s="87"/>
    </row>
    <row r="1242" spans="1:9" ht="12.75" customHeight="1" x14ac:dyDescent="0.2">
      <c r="A1242" s="94" t="s">
        <v>5360</v>
      </c>
      <c r="B1242" s="87" t="s">
        <v>587</v>
      </c>
      <c r="C1242" s="87" t="s">
        <v>4545</v>
      </c>
      <c r="D1242" s="88">
        <v>0</v>
      </c>
      <c r="E1242" s="89"/>
      <c r="F1242" s="89"/>
      <c r="G1242" s="87" t="str">
        <f t="shared" si="19"/>
        <v>218910200'= DIARIAS A PAGAR100000000003344768794</v>
      </c>
      <c r="H1242" s="87" t="str">
        <f>VLOOKUP(Tabela1[[#This Row],[CONCATENAR]],'Classificações - Demonstrações'!$A$5:$C$46003,2,)</f>
        <v>Outras Obrigações</v>
      </c>
      <c r="I1242" s="87"/>
    </row>
    <row r="1243" spans="1:9" ht="12.75" customHeight="1" x14ac:dyDescent="0.2">
      <c r="A1243" s="94" t="s">
        <v>5360</v>
      </c>
      <c r="B1243" s="87" t="s">
        <v>587</v>
      </c>
      <c r="C1243" s="87" t="s">
        <v>597</v>
      </c>
      <c r="D1243" s="88">
        <v>0</v>
      </c>
      <c r="E1243" s="89"/>
      <c r="F1243" s="89"/>
      <c r="G1243" s="87" t="str">
        <f t="shared" si="19"/>
        <v>218910200'= DIARIAS A PAGAR100000000003595051718</v>
      </c>
      <c r="H1243" s="87" t="str">
        <f>VLOOKUP(Tabela1[[#This Row],[CONCATENAR]],'Classificações - Demonstrações'!$A$5:$C$46003,2,)</f>
        <v>Outras Obrigações</v>
      </c>
      <c r="I1243" s="87"/>
    </row>
    <row r="1244" spans="1:9" ht="12.75" customHeight="1" x14ac:dyDescent="0.2">
      <c r="A1244" s="94" t="s">
        <v>5360</v>
      </c>
      <c r="B1244" s="87" t="s">
        <v>587</v>
      </c>
      <c r="C1244" s="87" t="s">
        <v>4805</v>
      </c>
      <c r="D1244" s="88">
        <v>0</v>
      </c>
      <c r="E1244" s="89"/>
      <c r="F1244" s="89"/>
      <c r="G1244" s="87" t="str">
        <f t="shared" si="19"/>
        <v>218910200'= DIARIAS A PAGAR100000000004243088780</v>
      </c>
      <c r="H1244" s="87" t="str">
        <f>VLOOKUP(Tabela1[[#This Row],[CONCATENAR]],'Classificações - Demonstrações'!$A$5:$C$46003,2,)</f>
        <v>Outras Obrigações</v>
      </c>
      <c r="I1244" s="87"/>
    </row>
    <row r="1245" spans="1:9" ht="12.75" customHeight="1" x14ac:dyDescent="0.2">
      <c r="A1245" s="94" t="s">
        <v>5360</v>
      </c>
      <c r="B1245" s="87" t="s">
        <v>587</v>
      </c>
      <c r="C1245" s="87" t="s">
        <v>4806</v>
      </c>
      <c r="D1245" s="88">
        <v>0</v>
      </c>
      <c r="E1245" s="89"/>
      <c r="F1245" s="89"/>
      <c r="G1245" s="87" t="str">
        <f t="shared" si="19"/>
        <v>218910200'= DIARIAS A PAGAR100000000004416936796</v>
      </c>
      <c r="H1245" s="87" t="str">
        <f>VLOOKUP(Tabela1[[#This Row],[CONCATENAR]],'Classificações - Demonstrações'!$A$5:$C$46003,2,)</f>
        <v>Outras Obrigações</v>
      </c>
      <c r="I1245" s="87"/>
    </row>
    <row r="1246" spans="1:9" ht="12.75" customHeight="1" x14ac:dyDescent="0.2">
      <c r="A1246" s="94" t="s">
        <v>5360</v>
      </c>
      <c r="B1246" s="87" t="s">
        <v>587</v>
      </c>
      <c r="C1246" s="87" t="s">
        <v>5149</v>
      </c>
      <c r="D1246" s="88">
        <v>0</v>
      </c>
      <c r="E1246" s="89"/>
      <c r="F1246" s="89"/>
      <c r="G1246" s="87" t="str">
        <f t="shared" si="19"/>
        <v>218910200'= DIARIAS A PAGAR100000000005280497711</v>
      </c>
      <c r="H1246" s="87" t="str">
        <f>VLOOKUP(Tabela1[[#This Row],[CONCATENAR]],'Classificações - Demonstrações'!$A$5:$C$46003,2,)</f>
        <v>Outras Obrigações</v>
      </c>
      <c r="I1246" s="87"/>
    </row>
    <row r="1247" spans="1:9" ht="12.75" customHeight="1" x14ac:dyDescent="0.2">
      <c r="A1247" s="94" t="s">
        <v>5360</v>
      </c>
      <c r="B1247" s="87" t="s">
        <v>587</v>
      </c>
      <c r="C1247" s="87" t="s">
        <v>598</v>
      </c>
      <c r="D1247" s="88">
        <v>0</v>
      </c>
      <c r="E1247" s="89"/>
      <c r="F1247" s="89"/>
      <c r="G1247" s="87" t="str">
        <f t="shared" si="19"/>
        <v>218910200'= DIARIAS A PAGAR100000000005282052776</v>
      </c>
      <c r="H1247" s="87" t="str">
        <f>VLOOKUP(Tabela1[[#This Row],[CONCATENAR]],'Classificações - Demonstrações'!$A$5:$C$46003,2,)</f>
        <v>Outras Obrigações</v>
      </c>
      <c r="I1247" s="87"/>
    </row>
    <row r="1248" spans="1:9" ht="12.75" customHeight="1" x14ac:dyDescent="0.2">
      <c r="A1248" s="94" t="s">
        <v>5360</v>
      </c>
      <c r="B1248" s="87" t="s">
        <v>587</v>
      </c>
      <c r="C1248" s="87" t="s">
        <v>4650</v>
      </c>
      <c r="D1248" s="88">
        <v>0</v>
      </c>
      <c r="E1248" s="89"/>
      <c r="F1248" s="89"/>
      <c r="G1248" s="87" t="str">
        <f t="shared" si="19"/>
        <v>218910200'= DIARIAS A PAGAR100000000005314448726</v>
      </c>
      <c r="H1248" s="87" t="str">
        <f>VLOOKUP(Tabela1[[#This Row],[CONCATENAR]],'Classificações - Demonstrações'!$A$5:$C$46003,2,)</f>
        <v>Outras Obrigações</v>
      </c>
      <c r="I1248" s="87"/>
    </row>
    <row r="1249" spans="1:9" ht="12.75" customHeight="1" x14ac:dyDescent="0.2">
      <c r="A1249" s="94" t="s">
        <v>5360</v>
      </c>
      <c r="B1249" s="87" t="s">
        <v>587</v>
      </c>
      <c r="C1249" s="87" t="s">
        <v>5681</v>
      </c>
      <c r="D1249" s="88">
        <v>0</v>
      </c>
      <c r="E1249" s="89"/>
      <c r="F1249" s="89"/>
      <c r="G1249" s="87" t="str">
        <f t="shared" si="19"/>
        <v>218910200'= DIARIAS A PAGAR100000000005341682645</v>
      </c>
      <c r="H1249" s="87" t="str">
        <f>VLOOKUP(Tabela1[[#This Row],[CONCATENAR]],'Classificações - Demonstrações'!$A$5:$C$46003,2,)</f>
        <v>Outras Obrigações</v>
      </c>
      <c r="I1249" s="87"/>
    </row>
    <row r="1250" spans="1:9" s="87" customFormat="1" ht="12.75" customHeight="1" x14ac:dyDescent="0.2">
      <c r="A1250" s="94" t="s">
        <v>5360</v>
      </c>
      <c r="B1250" s="87" t="s">
        <v>587</v>
      </c>
      <c r="C1250" s="87" t="s">
        <v>6300</v>
      </c>
      <c r="D1250" s="88">
        <v>0</v>
      </c>
      <c r="E1250" s="89"/>
      <c r="F1250" s="89"/>
      <c r="G1250" s="87" t="str">
        <f t="shared" si="19"/>
        <v>218910200'= DIARIAS A PAGAR100000000005346092790</v>
      </c>
      <c r="H1250" s="87" t="str">
        <f>VLOOKUP(Tabela1[[#This Row],[CONCATENAR]],'Classificações - Demonstrações'!$A$5:$C$46003,2,)</f>
        <v>Outras Obrigações</v>
      </c>
    </row>
    <row r="1251" spans="1:9" ht="12.75" customHeight="1" x14ac:dyDescent="0.2">
      <c r="A1251" s="94" t="s">
        <v>5360</v>
      </c>
      <c r="B1251" s="87" t="s">
        <v>587</v>
      </c>
      <c r="C1251" s="87" t="s">
        <v>599</v>
      </c>
      <c r="D1251" s="88">
        <v>0</v>
      </c>
      <c r="E1251" s="89"/>
      <c r="F1251" s="89"/>
      <c r="G1251" s="87" t="str">
        <f t="shared" si="19"/>
        <v>218910200'= DIARIAS A PAGAR100000000005361046701</v>
      </c>
      <c r="H1251" s="87" t="str">
        <f>VLOOKUP(Tabela1[[#This Row],[CONCATENAR]],'Classificações - Demonstrações'!$A$5:$C$46003,2,)</f>
        <v>Outras Obrigações</v>
      </c>
      <c r="I1251" s="87"/>
    </row>
    <row r="1252" spans="1:9" ht="12.75" customHeight="1" x14ac:dyDescent="0.2">
      <c r="A1252" s="94" t="s">
        <v>5360</v>
      </c>
      <c r="B1252" s="87" t="s">
        <v>587</v>
      </c>
      <c r="C1252" s="87" t="s">
        <v>600</v>
      </c>
      <c r="D1252" s="88">
        <v>0</v>
      </c>
      <c r="E1252" s="89"/>
      <c r="F1252" s="89"/>
      <c r="G1252" s="87" t="str">
        <f t="shared" si="19"/>
        <v>218910200'= DIARIAS A PAGAR100000000005492202758</v>
      </c>
      <c r="H1252" s="87" t="str">
        <f>VLOOKUP(Tabela1[[#This Row],[CONCATENAR]],'Classificações - Demonstrações'!$A$5:$C$46003,2,)</f>
        <v>Outras Obrigações</v>
      </c>
      <c r="I1252" s="87"/>
    </row>
    <row r="1253" spans="1:9" ht="12.75" customHeight="1" x14ac:dyDescent="0.2">
      <c r="A1253" s="94" t="s">
        <v>5360</v>
      </c>
      <c r="B1253" s="87" t="s">
        <v>587</v>
      </c>
      <c r="C1253" s="87" t="s">
        <v>5682</v>
      </c>
      <c r="D1253" s="88">
        <v>0</v>
      </c>
      <c r="E1253" s="89"/>
      <c r="F1253" s="89"/>
      <c r="G1253" s="87" t="str">
        <f t="shared" si="19"/>
        <v>218910200'= DIARIAS A PAGAR100000000005542977790</v>
      </c>
      <c r="H1253" s="87" t="str">
        <f>VLOOKUP(Tabela1[[#This Row],[CONCATENAR]],'Classificações - Demonstrações'!$A$5:$C$46003,2,)</f>
        <v>Outras Obrigações</v>
      </c>
      <c r="I1253" s="87"/>
    </row>
    <row r="1254" spans="1:9" s="84" customFormat="1" ht="12.75" customHeight="1" x14ac:dyDescent="0.2">
      <c r="A1254" s="94" t="s">
        <v>5360</v>
      </c>
      <c r="B1254" s="87" t="s">
        <v>587</v>
      </c>
      <c r="C1254" s="87" t="s">
        <v>601</v>
      </c>
      <c r="D1254" s="88">
        <v>0</v>
      </c>
      <c r="E1254" s="89"/>
      <c r="F1254" s="89"/>
      <c r="G1254" s="87" t="str">
        <f t="shared" si="19"/>
        <v>218910200'= DIARIAS A PAGAR100000000005645709748</v>
      </c>
      <c r="H1254" s="87" t="str">
        <f>VLOOKUP(Tabela1[[#This Row],[CONCATENAR]],'Classificações - Demonstrações'!$A$5:$C$46003,2,)</f>
        <v>Outras Obrigações</v>
      </c>
      <c r="I1254" s="87"/>
    </row>
    <row r="1255" spans="1:9" s="84" customFormat="1" ht="12.75" customHeight="1" x14ac:dyDescent="0.2">
      <c r="A1255" s="94" t="s">
        <v>5360</v>
      </c>
      <c r="B1255" s="87" t="s">
        <v>587</v>
      </c>
      <c r="C1255" s="87" t="s">
        <v>602</v>
      </c>
      <c r="D1255" s="88">
        <v>0</v>
      </c>
      <c r="E1255" s="89"/>
      <c r="F1255" s="89"/>
      <c r="G1255" s="87" t="str">
        <f t="shared" si="19"/>
        <v>218910200'= DIARIAS A PAGAR100000000005678774778</v>
      </c>
      <c r="H1255" s="87" t="str">
        <f>VLOOKUP(Tabela1[[#This Row],[CONCATENAR]],'Classificações - Demonstrações'!$A$5:$C$46003,2,)</f>
        <v>Outras Obrigações</v>
      </c>
      <c r="I1255" s="87"/>
    </row>
    <row r="1256" spans="1:9" s="84" customFormat="1" ht="12.75" customHeight="1" x14ac:dyDescent="0.2">
      <c r="A1256" s="94" t="s">
        <v>5360</v>
      </c>
      <c r="B1256" s="87" t="s">
        <v>587</v>
      </c>
      <c r="C1256" s="87" t="s">
        <v>4651</v>
      </c>
      <c r="D1256" s="88">
        <v>0</v>
      </c>
      <c r="E1256" s="89"/>
      <c r="F1256" s="89"/>
      <c r="G1256" s="87" t="str">
        <f t="shared" si="19"/>
        <v>218910200'= DIARIAS A PAGAR100000000005791053770</v>
      </c>
      <c r="H1256" s="87" t="str">
        <f>VLOOKUP(Tabela1[[#This Row],[CONCATENAR]],'Classificações - Demonstrações'!$A$5:$C$46003,2,)</f>
        <v>Outras Obrigações</v>
      </c>
      <c r="I1256" s="87"/>
    </row>
    <row r="1257" spans="1:9" ht="12.75" customHeight="1" x14ac:dyDescent="0.2">
      <c r="A1257" s="94" t="s">
        <v>5360</v>
      </c>
      <c r="B1257" s="87" t="s">
        <v>587</v>
      </c>
      <c r="C1257" s="87" t="s">
        <v>5041</v>
      </c>
      <c r="D1257" s="88">
        <v>0</v>
      </c>
      <c r="E1257" s="89"/>
      <c r="F1257" s="89"/>
      <c r="G1257" s="87" t="str">
        <f t="shared" si="19"/>
        <v>218910200'= DIARIAS A PAGAR100000000005869949718</v>
      </c>
      <c r="H1257" s="87" t="str">
        <f>VLOOKUP(Tabela1[[#This Row],[CONCATENAR]],'Classificações - Demonstrações'!$A$5:$C$46003,2,)</f>
        <v>Outras Obrigações</v>
      </c>
      <c r="I1257" s="87"/>
    </row>
    <row r="1258" spans="1:9" ht="12.75" customHeight="1" x14ac:dyDescent="0.2">
      <c r="A1258" s="94" t="s">
        <v>5360</v>
      </c>
      <c r="B1258" s="87" t="s">
        <v>587</v>
      </c>
      <c r="C1258" s="87" t="s">
        <v>5815</v>
      </c>
      <c r="D1258" s="88">
        <v>0</v>
      </c>
      <c r="E1258" s="89"/>
      <c r="F1258" s="89"/>
      <c r="G1258" s="87" t="str">
        <f t="shared" si="19"/>
        <v>218910200'= DIARIAS A PAGAR100000000005877414739</v>
      </c>
      <c r="H1258" s="87" t="str">
        <f>VLOOKUP(Tabela1[[#This Row],[CONCATENAR]],'Classificações - Demonstrações'!$A$5:$C$46003,2,)</f>
        <v>Outras Obrigações</v>
      </c>
      <c r="I1258" s="87"/>
    </row>
    <row r="1259" spans="1:9" ht="12.75" customHeight="1" x14ac:dyDescent="0.2">
      <c r="A1259" s="94" t="s">
        <v>5360</v>
      </c>
      <c r="B1259" s="87" t="s">
        <v>587</v>
      </c>
      <c r="C1259" s="87" t="s">
        <v>4652</v>
      </c>
      <c r="D1259" s="88">
        <v>0</v>
      </c>
      <c r="E1259" s="89"/>
      <c r="F1259" s="89"/>
      <c r="G1259" s="87" t="str">
        <f t="shared" si="19"/>
        <v>218910200'= DIARIAS A PAGAR100000000005977083718</v>
      </c>
      <c r="H1259" s="87" t="str">
        <f>VLOOKUP(Tabela1[[#This Row],[CONCATENAR]],'Classificações - Demonstrações'!$A$5:$C$46003,2,)</f>
        <v>Outras Obrigações</v>
      </c>
      <c r="I1259" s="87"/>
    </row>
    <row r="1260" spans="1:9" ht="12.75" customHeight="1" x14ac:dyDescent="0.2">
      <c r="A1260" s="94" t="s">
        <v>5360</v>
      </c>
      <c r="B1260" s="87" t="s">
        <v>587</v>
      </c>
      <c r="C1260" s="87" t="s">
        <v>5042</v>
      </c>
      <c r="D1260" s="88">
        <v>0</v>
      </c>
      <c r="E1260" s="89"/>
      <c r="F1260" s="89"/>
      <c r="G1260" s="87" t="str">
        <f t="shared" si="19"/>
        <v>218910200'= DIARIAS A PAGAR100000000005985523756</v>
      </c>
      <c r="H1260" s="87" t="str">
        <f>VLOOKUP(Tabela1[[#This Row],[CONCATENAR]],'Classificações - Demonstrações'!$A$5:$C$46003,2,)</f>
        <v>Outras Obrigações</v>
      </c>
      <c r="I1260" s="87"/>
    </row>
    <row r="1261" spans="1:9" ht="12.75" customHeight="1" x14ac:dyDescent="0.2">
      <c r="A1261" s="94" t="s">
        <v>5360</v>
      </c>
      <c r="B1261" s="87" t="s">
        <v>587</v>
      </c>
      <c r="C1261" s="87" t="s">
        <v>4653</v>
      </c>
      <c r="D1261" s="88">
        <v>0</v>
      </c>
      <c r="E1261" s="89"/>
      <c r="F1261" s="89"/>
      <c r="G1261" s="87" t="str">
        <f t="shared" si="19"/>
        <v>218910200'= DIARIAS A PAGAR100000000007034952752</v>
      </c>
      <c r="H1261" s="87" t="str">
        <f>VLOOKUP(Tabela1[[#This Row],[CONCATENAR]],'Classificações - Demonstrações'!$A$5:$C$46003,2,)</f>
        <v>Outras Obrigações</v>
      </c>
      <c r="I1261" s="87"/>
    </row>
    <row r="1262" spans="1:9" ht="12.75" customHeight="1" x14ac:dyDescent="0.2">
      <c r="A1262" s="94" t="s">
        <v>5360</v>
      </c>
      <c r="B1262" s="87" t="s">
        <v>587</v>
      </c>
      <c r="C1262" s="87" t="s">
        <v>5150</v>
      </c>
      <c r="D1262" s="88">
        <v>0</v>
      </c>
      <c r="E1262" s="89"/>
      <c r="F1262" s="89"/>
      <c r="G1262" s="87" t="str">
        <f t="shared" si="19"/>
        <v>218910200'= DIARIAS A PAGAR100000000007151818742</v>
      </c>
      <c r="H1262" s="87" t="str">
        <f>VLOOKUP(Tabela1[[#This Row],[CONCATENAR]],'Classificações - Demonstrações'!$A$5:$C$46003,2,)</f>
        <v>Outras Obrigações</v>
      </c>
      <c r="I1262" s="87"/>
    </row>
    <row r="1263" spans="1:9" ht="12.75" customHeight="1" x14ac:dyDescent="0.2">
      <c r="A1263" s="94" t="s">
        <v>5360</v>
      </c>
      <c r="B1263" s="87" t="s">
        <v>587</v>
      </c>
      <c r="C1263" s="87" t="s">
        <v>4807</v>
      </c>
      <c r="D1263" s="88">
        <v>0</v>
      </c>
      <c r="E1263" s="89"/>
      <c r="F1263" s="89"/>
      <c r="G1263" s="87" t="str">
        <f t="shared" si="19"/>
        <v>218910200'= DIARIAS A PAGAR100000000007247347759</v>
      </c>
      <c r="H1263" s="87" t="str">
        <f>VLOOKUP(Tabela1[[#This Row],[CONCATENAR]],'Classificações - Demonstrações'!$A$5:$C$46003,2,)</f>
        <v>Outras Obrigações</v>
      </c>
      <c r="I1263" s="87"/>
    </row>
    <row r="1264" spans="1:9" ht="12.75" customHeight="1" x14ac:dyDescent="0.2">
      <c r="A1264" s="94" t="s">
        <v>5360</v>
      </c>
      <c r="B1264" s="87" t="s">
        <v>587</v>
      </c>
      <c r="C1264" s="87" t="s">
        <v>4654</v>
      </c>
      <c r="D1264" s="88">
        <v>0</v>
      </c>
      <c r="E1264" s="89"/>
      <c r="F1264" s="89"/>
      <c r="G1264" s="87" t="str">
        <f t="shared" si="19"/>
        <v>218910200'= DIARIAS A PAGAR100000000007450725770</v>
      </c>
      <c r="H1264" s="87" t="str">
        <f>VLOOKUP(Tabela1[[#This Row],[CONCATENAR]],'Classificações - Demonstrações'!$A$5:$C$46003,2,)</f>
        <v>Outras Obrigações</v>
      </c>
      <c r="I1264" s="87"/>
    </row>
    <row r="1265" spans="1:9" ht="12.75" customHeight="1" x14ac:dyDescent="0.2">
      <c r="A1265" s="94" t="s">
        <v>5360</v>
      </c>
      <c r="B1265" s="87" t="s">
        <v>587</v>
      </c>
      <c r="C1265" s="87" t="s">
        <v>603</v>
      </c>
      <c r="D1265" s="88">
        <v>0</v>
      </c>
      <c r="E1265" s="89"/>
      <c r="F1265" s="89"/>
      <c r="G1265" s="87" t="str">
        <f t="shared" si="19"/>
        <v>218910200'= DIARIAS A PAGAR100000000007454288782</v>
      </c>
      <c r="H1265" s="87" t="str">
        <f>VLOOKUP(Tabela1[[#This Row],[CONCATENAR]],'Classificações - Demonstrações'!$A$5:$C$46003,2,)</f>
        <v>Outras Obrigações</v>
      </c>
      <c r="I1265" s="87"/>
    </row>
    <row r="1266" spans="1:9" ht="12.75" customHeight="1" x14ac:dyDescent="0.2">
      <c r="A1266" s="94" t="s">
        <v>5360</v>
      </c>
      <c r="B1266" s="87" t="s">
        <v>587</v>
      </c>
      <c r="C1266" s="87" t="s">
        <v>604</v>
      </c>
      <c r="D1266" s="88">
        <v>0</v>
      </c>
      <c r="E1266" s="89"/>
      <c r="F1266" s="89"/>
      <c r="G1266" s="87" t="str">
        <f t="shared" si="19"/>
        <v>218910200'= DIARIAS A PAGAR100000000007552841788</v>
      </c>
      <c r="H1266" s="87" t="str">
        <f>VLOOKUP(Tabela1[[#This Row],[CONCATENAR]],'Classificações - Demonstrações'!$A$5:$C$46003,2,)</f>
        <v>Outras Obrigações</v>
      </c>
      <c r="I1266" s="87"/>
    </row>
    <row r="1267" spans="1:9" ht="12.75" customHeight="1" x14ac:dyDescent="0.2">
      <c r="A1267" s="94" t="s">
        <v>5360</v>
      </c>
      <c r="B1267" s="87" t="s">
        <v>587</v>
      </c>
      <c r="C1267" s="87" t="s">
        <v>4808</v>
      </c>
      <c r="D1267" s="88">
        <v>0</v>
      </c>
      <c r="E1267" s="89"/>
      <c r="F1267" s="89"/>
      <c r="G1267" s="87" t="str">
        <f t="shared" si="19"/>
        <v>218910200'= DIARIAS A PAGAR100000000007568732746</v>
      </c>
      <c r="H1267" s="87" t="str">
        <f>VLOOKUP(Tabela1[[#This Row],[CONCATENAR]],'Classificações - Demonstrações'!$A$5:$C$46003,2,)</f>
        <v>Outras Obrigações</v>
      </c>
      <c r="I1267" s="87"/>
    </row>
    <row r="1268" spans="1:9" ht="12.75" customHeight="1" x14ac:dyDescent="0.2">
      <c r="A1268" s="94" t="s">
        <v>5360</v>
      </c>
      <c r="B1268" s="87" t="s">
        <v>587</v>
      </c>
      <c r="C1268" s="87" t="s">
        <v>5566</v>
      </c>
      <c r="D1268" s="88">
        <v>0</v>
      </c>
      <c r="E1268" s="89"/>
      <c r="F1268" s="89"/>
      <c r="G1268" s="87" t="str">
        <f t="shared" si="19"/>
        <v>218910200'= DIARIAS A PAGAR100000000007598374732</v>
      </c>
      <c r="H1268" s="87" t="str">
        <f>VLOOKUP(Tabela1[[#This Row],[CONCATENAR]],'Classificações - Demonstrações'!$A$5:$C$46003,2,)</f>
        <v>Outras Obrigações</v>
      </c>
      <c r="I1268" s="87"/>
    </row>
    <row r="1269" spans="1:9" s="87" customFormat="1" ht="12.75" customHeight="1" x14ac:dyDescent="0.2">
      <c r="A1269" s="94" t="s">
        <v>5360</v>
      </c>
      <c r="B1269" s="87" t="s">
        <v>587</v>
      </c>
      <c r="C1269" s="87" t="s">
        <v>605</v>
      </c>
      <c r="D1269" s="88">
        <v>0</v>
      </c>
      <c r="E1269" s="89"/>
      <c r="F1269" s="89"/>
      <c r="G1269" s="87" t="str">
        <f t="shared" si="19"/>
        <v>218910200'= DIARIAS A PAGAR100000000007712093717</v>
      </c>
      <c r="H1269" s="87" t="str">
        <f>VLOOKUP(Tabela1[[#This Row],[CONCATENAR]],'Classificações - Demonstrações'!$A$5:$C$46003,2,)</f>
        <v>Outras Obrigações</v>
      </c>
    </row>
    <row r="1270" spans="1:9" ht="12.75" customHeight="1" x14ac:dyDescent="0.2">
      <c r="A1270" s="94" t="s">
        <v>5360</v>
      </c>
      <c r="B1270" s="87" t="s">
        <v>587</v>
      </c>
      <c r="C1270" s="87" t="s">
        <v>582</v>
      </c>
      <c r="D1270" s="88">
        <v>0</v>
      </c>
      <c r="E1270" s="89"/>
      <c r="F1270" s="89"/>
      <c r="G1270" s="87" t="str">
        <f t="shared" si="19"/>
        <v>218910200'= DIARIAS A PAGAR100000000007788307726</v>
      </c>
      <c r="H1270" s="87" t="str">
        <f>VLOOKUP(Tabela1[[#This Row],[CONCATENAR]],'Classificações - Demonstrações'!$A$5:$C$46003,2,)</f>
        <v>Outras Obrigações</v>
      </c>
      <c r="I1270" s="87"/>
    </row>
    <row r="1271" spans="1:9" s="84" customFormat="1" ht="12.75" customHeight="1" x14ac:dyDescent="0.2">
      <c r="A1271" s="94" t="s">
        <v>5360</v>
      </c>
      <c r="B1271" s="87" t="s">
        <v>587</v>
      </c>
      <c r="C1271" s="87" t="s">
        <v>606</v>
      </c>
      <c r="D1271" s="88">
        <v>0</v>
      </c>
      <c r="E1271" s="89"/>
      <c r="F1271" s="89"/>
      <c r="G1271" s="87" t="str">
        <f t="shared" si="19"/>
        <v>218910200'= DIARIAS A PAGAR100000000007808975796</v>
      </c>
      <c r="H1271" s="87" t="str">
        <f>VLOOKUP(Tabela1[[#This Row],[CONCATENAR]],'Classificações - Demonstrações'!$A$5:$C$46003,2,)</f>
        <v>Outras Obrigações</v>
      </c>
      <c r="I1271" s="87"/>
    </row>
    <row r="1272" spans="1:9" s="84" customFormat="1" ht="12.75" customHeight="1" x14ac:dyDescent="0.2">
      <c r="A1272" s="94" t="s">
        <v>5360</v>
      </c>
      <c r="B1272" s="87" t="s">
        <v>587</v>
      </c>
      <c r="C1272" s="87" t="s">
        <v>607</v>
      </c>
      <c r="D1272" s="88">
        <v>0</v>
      </c>
      <c r="E1272" s="89"/>
      <c r="F1272" s="89"/>
      <c r="G1272" s="87" t="str">
        <f t="shared" si="19"/>
        <v>218910200'= DIARIAS A PAGAR100000000007844342714</v>
      </c>
      <c r="H1272" s="87" t="str">
        <f>VLOOKUP(Tabela1[[#This Row],[CONCATENAR]],'Classificações - Demonstrações'!$A$5:$C$46003,2,)</f>
        <v>Outras Obrigações</v>
      </c>
      <c r="I1272" s="87"/>
    </row>
    <row r="1273" spans="1:9" ht="12.75" customHeight="1" x14ac:dyDescent="0.2">
      <c r="A1273" s="94" t="s">
        <v>5360</v>
      </c>
      <c r="B1273" s="87" t="s">
        <v>587</v>
      </c>
      <c r="C1273" s="87" t="s">
        <v>608</v>
      </c>
      <c r="D1273" s="88">
        <v>0</v>
      </c>
      <c r="E1273" s="89"/>
      <c r="F1273" s="89"/>
      <c r="G1273" s="87" t="str">
        <f t="shared" si="19"/>
        <v>218910200'= DIARIAS A PAGAR100000000007887245761</v>
      </c>
      <c r="H1273" s="87" t="str">
        <f>VLOOKUP(Tabela1[[#This Row],[CONCATENAR]],'Classificações - Demonstrações'!$A$5:$C$46003,2,)</f>
        <v>Outras Obrigações</v>
      </c>
      <c r="I1273" s="87"/>
    </row>
    <row r="1274" spans="1:9" ht="12.75" customHeight="1" x14ac:dyDescent="0.2">
      <c r="A1274" s="94" t="s">
        <v>5360</v>
      </c>
      <c r="B1274" s="87" t="s">
        <v>587</v>
      </c>
      <c r="C1274" s="87" t="s">
        <v>609</v>
      </c>
      <c r="D1274" s="88">
        <v>2010</v>
      </c>
      <c r="E1274" s="89"/>
      <c r="F1274" s="89"/>
      <c r="G1274" s="87" t="str">
        <f t="shared" si="19"/>
        <v>218910200'= DIARIAS A PAGAR100000000008034666769</v>
      </c>
      <c r="H1274" s="87" t="str">
        <f>VLOOKUP(Tabela1[[#This Row],[CONCATENAR]],'Classificações - Demonstrações'!$A$5:$C$46003,2,)</f>
        <v>Outras Obrigações</v>
      </c>
      <c r="I1274" s="87"/>
    </row>
    <row r="1275" spans="1:9" ht="12.75" customHeight="1" x14ac:dyDescent="0.2">
      <c r="A1275" s="94" t="s">
        <v>5360</v>
      </c>
      <c r="B1275" s="87" t="s">
        <v>587</v>
      </c>
      <c r="C1275" s="87" t="s">
        <v>4809</v>
      </c>
      <c r="D1275" s="88">
        <v>0</v>
      </c>
      <c r="E1275" s="89"/>
      <c r="F1275" s="89"/>
      <c r="G1275" s="87" t="str">
        <f t="shared" si="19"/>
        <v>218910200'= DIARIAS A PAGAR100000000008352320777</v>
      </c>
      <c r="H1275" s="87" t="str">
        <f>VLOOKUP(Tabela1[[#This Row],[CONCATENAR]],'Classificações - Demonstrações'!$A$5:$C$46003,2,)</f>
        <v>Outras Obrigações</v>
      </c>
      <c r="I1275" s="87"/>
    </row>
    <row r="1276" spans="1:9" ht="12.75" customHeight="1" x14ac:dyDescent="0.2">
      <c r="A1276" s="94" t="s">
        <v>5360</v>
      </c>
      <c r="B1276" s="87" t="s">
        <v>587</v>
      </c>
      <c r="C1276" s="87" t="s">
        <v>610</v>
      </c>
      <c r="D1276" s="88">
        <v>0</v>
      </c>
      <c r="E1276" s="89"/>
      <c r="F1276" s="89"/>
      <c r="G1276" s="87" t="str">
        <f t="shared" si="19"/>
        <v>218910200'= DIARIAS A PAGAR100000000008389037700</v>
      </c>
      <c r="H1276" s="87" t="str">
        <f>VLOOKUP(Tabela1[[#This Row],[CONCATENAR]],'Classificações - Demonstrações'!$A$5:$C$46003,2,)</f>
        <v>Outras Obrigações</v>
      </c>
      <c r="I1276" s="87"/>
    </row>
    <row r="1277" spans="1:9" ht="12.75" customHeight="1" x14ac:dyDescent="0.2">
      <c r="A1277" s="94" t="s">
        <v>5360</v>
      </c>
      <c r="B1277" s="87" t="s">
        <v>587</v>
      </c>
      <c r="C1277" s="87" t="s">
        <v>4655</v>
      </c>
      <c r="D1277" s="88">
        <v>0</v>
      </c>
      <c r="E1277" s="89"/>
      <c r="F1277" s="89"/>
      <c r="G1277" s="87" t="str">
        <f t="shared" si="19"/>
        <v>218910200'= DIARIAS A PAGAR100000000008403534728</v>
      </c>
      <c r="H1277" s="87" t="str">
        <f>VLOOKUP(Tabela1[[#This Row],[CONCATENAR]],'Classificações - Demonstrações'!$A$5:$C$46003,2,)</f>
        <v>Outras Obrigações</v>
      </c>
      <c r="I1277" s="87"/>
    </row>
    <row r="1278" spans="1:9" ht="12.75" customHeight="1" x14ac:dyDescent="0.2">
      <c r="A1278" s="94" t="s">
        <v>5360</v>
      </c>
      <c r="B1278" s="87" t="s">
        <v>587</v>
      </c>
      <c r="C1278" s="87" t="s">
        <v>611</v>
      </c>
      <c r="D1278" s="88">
        <v>0</v>
      </c>
      <c r="E1278" s="89"/>
      <c r="F1278" s="89"/>
      <c r="G1278" s="87" t="str">
        <f t="shared" si="19"/>
        <v>218910200'= DIARIAS A PAGAR100000000008471275759</v>
      </c>
      <c r="H1278" s="87" t="str">
        <f>VLOOKUP(Tabela1[[#This Row],[CONCATENAR]],'Classificações - Demonstrações'!$A$5:$C$46003,2,)</f>
        <v>Outras Obrigações</v>
      </c>
      <c r="I1278" s="87"/>
    </row>
    <row r="1279" spans="1:9" s="84" customFormat="1" ht="12.75" customHeight="1" x14ac:dyDescent="0.2">
      <c r="A1279" s="94" t="s">
        <v>5360</v>
      </c>
      <c r="B1279" s="87" t="s">
        <v>587</v>
      </c>
      <c r="C1279" s="87" t="s">
        <v>4656</v>
      </c>
      <c r="D1279" s="88">
        <v>0</v>
      </c>
      <c r="E1279" s="89"/>
      <c r="F1279" s="89"/>
      <c r="G1279" s="87" t="str">
        <f t="shared" si="19"/>
        <v>218910200'= DIARIAS A PAGAR100000000008502159780</v>
      </c>
      <c r="H1279" s="87" t="str">
        <f>VLOOKUP(Tabela1[[#This Row],[CONCATENAR]],'Classificações - Demonstrações'!$A$5:$C$46003,2,)</f>
        <v>Outras Obrigações</v>
      </c>
      <c r="I1279" s="87"/>
    </row>
    <row r="1280" spans="1:9" s="84" customFormat="1" ht="12.75" customHeight="1" x14ac:dyDescent="0.2">
      <c r="A1280" s="94" t="s">
        <v>5360</v>
      </c>
      <c r="B1280" s="87" t="s">
        <v>587</v>
      </c>
      <c r="C1280" s="87" t="s">
        <v>4657</v>
      </c>
      <c r="D1280" s="88">
        <v>0</v>
      </c>
      <c r="E1280" s="89"/>
      <c r="F1280" s="89"/>
      <c r="G1280" s="87" t="str">
        <f t="shared" si="19"/>
        <v>218910200'= DIARIAS A PAGAR100000000008610700704</v>
      </c>
      <c r="H1280" s="87" t="str">
        <f>VLOOKUP(Tabela1[[#This Row],[CONCATENAR]],'Classificações - Demonstrações'!$A$5:$C$46003,2,)</f>
        <v>Outras Obrigações</v>
      </c>
      <c r="I1280" s="87"/>
    </row>
    <row r="1281" spans="1:9" s="84" customFormat="1" ht="12.75" customHeight="1" x14ac:dyDescent="0.2">
      <c r="A1281" s="94" t="s">
        <v>5360</v>
      </c>
      <c r="B1281" s="87" t="s">
        <v>587</v>
      </c>
      <c r="C1281" s="87" t="s">
        <v>612</v>
      </c>
      <c r="D1281" s="88">
        <v>0</v>
      </c>
      <c r="E1281" s="89"/>
      <c r="F1281" s="89"/>
      <c r="G1281" s="87" t="str">
        <f t="shared" si="19"/>
        <v>218910200'= DIARIAS A PAGAR100000000008687718721</v>
      </c>
      <c r="H1281" s="87" t="str">
        <f>VLOOKUP(Tabela1[[#This Row],[CONCATENAR]],'Classificações - Demonstrações'!$A$5:$C$46003,2,)</f>
        <v>Outras Obrigações</v>
      </c>
      <c r="I1281" s="87"/>
    </row>
    <row r="1282" spans="1:9" ht="12.75" customHeight="1" x14ac:dyDescent="0.2">
      <c r="A1282" s="94" t="s">
        <v>5360</v>
      </c>
      <c r="B1282" s="87" t="s">
        <v>587</v>
      </c>
      <c r="C1282" s="87" t="s">
        <v>613</v>
      </c>
      <c r="D1282" s="88">
        <v>0</v>
      </c>
      <c r="E1282" s="89"/>
      <c r="F1282" s="89"/>
      <c r="G1282" s="87" t="str">
        <f t="shared" si="19"/>
        <v>218910200'= DIARIAS A PAGAR100000000008741297709</v>
      </c>
      <c r="H1282" s="87" t="str">
        <f>VLOOKUP(Tabela1[[#This Row],[CONCATENAR]],'Classificações - Demonstrações'!$A$5:$C$46003,2,)</f>
        <v>Outras Obrigações</v>
      </c>
      <c r="I1282" s="87"/>
    </row>
    <row r="1283" spans="1:9" ht="12.75" customHeight="1" x14ac:dyDescent="0.2">
      <c r="A1283" s="94" t="s">
        <v>5360</v>
      </c>
      <c r="B1283" s="87" t="s">
        <v>587</v>
      </c>
      <c r="C1283" s="87" t="s">
        <v>4810</v>
      </c>
      <c r="D1283" s="88">
        <v>0</v>
      </c>
      <c r="E1283" s="89"/>
      <c r="F1283" s="89"/>
      <c r="G1283" s="87" t="str">
        <f t="shared" si="19"/>
        <v>218910200'= DIARIAS A PAGAR100000000008751517795</v>
      </c>
      <c r="H1283" s="87" t="str">
        <f>VLOOKUP(Tabela1[[#This Row],[CONCATENAR]],'Classificações - Demonstrações'!$A$5:$C$46003,2,)</f>
        <v>Outras Obrigações</v>
      </c>
      <c r="I1283" s="87"/>
    </row>
    <row r="1284" spans="1:9" ht="12.75" customHeight="1" x14ac:dyDescent="0.2">
      <c r="A1284" s="94" t="s">
        <v>5360</v>
      </c>
      <c r="B1284" s="87" t="s">
        <v>587</v>
      </c>
      <c r="C1284" s="87" t="s">
        <v>4546</v>
      </c>
      <c r="D1284" s="88">
        <v>0</v>
      </c>
      <c r="E1284" s="89"/>
      <c r="F1284" s="89"/>
      <c r="G1284" s="87" t="str">
        <f t="shared" si="19"/>
        <v>218910200'= DIARIAS A PAGAR100000000009083315762</v>
      </c>
      <c r="H1284" s="87" t="str">
        <f>VLOOKUP(Tabela1[[#This Row],[CONCATENAR]],'Classificações - Demonstrações'!$A$5:$C$46003,2,)</f>
        <v>Outras Obrigações</v>
      </c>
      <c r="I1284" s="87"/>
    </row>
    <row r="1285" spans="1:9" ht="12.75" customHeight="1" x14ac:dyDescent="0.2">
      <c r="A1285" s="94" t="s">
        <v>5360</v>
      </c>
      <c r="B1285" s="87" t="s">
        <v>587</v>
      </c>
      <c r="C1285" s="87" t="s">
        <v>614</v>
      </c>
      <c r="D1285" s="88">
        <v>0</v>
      </c>
      <c r="E1285" s="89"/>
      <c r="F1285" s="89"/>
      <c r="G1285" s="87" t="str">
        <f t="shared" ref="G1285:G1348" si="20">CONCATENATE(A1285,B1285,C1285)</f>
        <v>218910200'= DIARIAS A PAGAR100000000009175552795</v>
      </c>
      <c r="H1285" s="87" t="str">
        <f>VLOOKUP(Tabela1[[#This Row],[CONCATENAR]],'Classificações - Demonstrações'!$A$5:$C$46003,2,)</f>
        <v>Outras Obrigações</v>
      </c>
      <c r="I1285" s="87"/>
    </row>
    <row r="1286" spans="1:9" ht="12.75" customHeight="1" x14ac:dyDescent="0.2">
      <c r="A1286" s="94" t="s">
        <v>5360</v>
      </c>
      <c r="B1286" s="87" t="s">
        <v>587</v>
      </c>
      <c r="C1286" s="87" t="s">
        <v>615</v>
      </c>
      <c r="D1286" s="88">
        <v>0</v>
      </c>
      <c r="E1286" s="89"/>
      <c r="F1286" s="89"/>
      <c r="G1286" s="87" t="str">
        <f t="shared" si="20"/>
        <v>218910200'= DIARIAS A PAGAR100000000009233861732</v>
      </c>
      <c r="H1286" s="87" t="str">
        <f>VLOOKUP(Tabela1[[#This Row],[CONCATENAR]],'Classificações - Demonstrações'!$A$5:$C$46003,2,)</f>
        <v>Outras Obrigações</v>
      </c>
      <c r="I1286" s="87"/>
    </row>
    <row r="1287" spans="1:9" ht="12.75" customHeight="1" x14ac:dyDescent="0.2">
      <c r="A1287" s="94" t="s">
        <v>5360</v>
      </c>
      <c r="B1287" s="87" t="s">
        <v>587</v>
      </c>
      <c r="C1287" s="87" t="s">
        <v>5043</v>
      </c>
      <c r="D1287" s="88">
        <v>0</v>
      </c>
      <c r="E1287" s="89"/>
      <c r="F1287" s="89"/>
      <c r="G1287" s="87" t="str">
        <f t="shared" si="20"/>
        <v>218910200'= DIARIAS A PAGAR100000000009331299710</v>
      </c>
      <c r="H1287" s="87" t="str">
        <f>VLOOKUP(Tabela1[[#This Row],[CONCATENAR]],'Classificações - Demonstrações'!$A$5:$C$46003,2,)</f>
        <v>Outras Obrigações</v>
      </c>
      <c r="I1287" s="87"/>
    </row>
    <row r="1288" spans="1:9" s="84" customFormat="1" ht="12.75" customHeight="1" x14ac:dyDescent="0.2">
      <c r="A1288" s="94" t="s">
        <v>5360</v>
      </c>
      <c r="B1288" s="87" t="s">
        <v>587</v>
      </c>
      <c r="C1288" s="87" t="s">
        <v>616</v>
      </c>
      <c r="D1288" s="88">
        <v>0</v>
      </c>
      <c r="E1288" s="89"/>
      <c r="F1288" s="89"/>
      <c r="G1288" s="87" t="str">
        <f t="shared" si="20"/>
        <v>218910200'= DIARIAS A PAGAR100000000009409138795</v>
      </c>
      <c r="H1288" s="87" t="str">
        <f>VLOOKUP(Tabela1[[#This Row],[CONCATENAR]],'Classificações - Demonstrações'!$A$5:$C$46003,2,)</f>
        <v>Outras Obrigações</v>
      </c>
      <c r="I1288" s="87"/>
    </row>
    <row r="1289" spans="1:9" ht="12.75" customHeight="1" x14ac:dyDescent="0.2">
      <c r="A1289" s="94" t="s">
        <v>5360</v>
      </c>
      <c r="B1289" s="87" t="s">
        <v>587</v>
      </c>
      <c r="C1289" s="87" t="s">
        <v>617</v>
      </c>
      <c r="D1289" s="88">
        <v>0</v>
      </c>
      <c r="E1289" s="89"/>
      <c r="F1289" s="89"/>
      <c r="G1289" s="87" t="str">
        <f t="shared" si="20"/>
        <v>218910200'= DIARIAS A PAGAR100000000009537610705</v>
      </c>
      <c r="H1289" s="87" t="str">
        <f>VLOOKUP(Tabela1[[#This Row],[CONCATENAR]],'Classificações - Demonstrações'!$A$5:$C$46003,2,)</f>
        <v>Outras Obrigações</v>
      </c>
      <c r="I1289" s="87"/>
    </row>
    <row r="1290" spans="1:9" ht="12.75" customHeight="1" x14ac:dyDescent="0.2">
      <c r="A1290" s="94" t="s">
        <v>5360</v>
      </c>
      <c r="B1290" s="87" t="s">
        <v>587</v>
      </c>
      <c r="C1290" s="87" t="s">
        <v>4658</v>
      </c>
      <c r="D1290" s="88">
        <v>0</v>
      </c>
      <c r="E1290" s="89"/>
      <c r="F1290" s="89"/>
      <c r="G1290" s="87" t="str">
        <f t="shared" si="20"/>
        <v>218910200'= DIARIAS A PAGAR100000000009621077788</v>
      </c>
      <c r="H1290" s="87" t="str">
        <f>VLOOKUP(Tabela1[[#This Row],[CONCATENAR]],'Classificações - Demonstrações'!$A$5:$C$46003,2,)</f>
        <v>Outras Obrigações</v>
      </c>
      <c r="I1290" s="87"/>
    </row>
    <row r="1291" spans="1:9" ht="12.75" customHeight="1" x14ac:dyDescent="0.2">
      <c r="A1291" s="94" t="s">
        <v>5360</v>
      </c>
      <c r="B1291" s="87" t="s">
        <v>587</v>
      </c>
      <c r="C1291" s="87" t="s">
        <v>618</v>
      </c>
      <c r="D1291" s="88">
        <v>0</v>
      </c>
      <c r="E1291" s="89"/>
      <c r="F1291" s="89"/>
      <c r="G1291" s="87" t="str">
        <f t="shared" si="20"/>
        <v>218910200'= DIARIAS A PAGAR100000000009625244760</v>
      </c>
      <c r="H1291" s="87" t="str">
        <f>VLOOKUP(Tabela1[[#This Row],[CONCATENAR]],'Classificações - Demonstrações'!$A$5:$C$46003,2,)</f>
        <v>Outras Obrigações</v>
      </c>
      <c r="I1291" s="87"/>
    </row>
    <row r="1292" spans="1:9" ht="12.75" customHeight="1" x14ac:dyDescent="0.2">
      <c r="A1292" s="94" t="s">
        <v>5360</v>
      </c>
      <c r="B1292" s="87" t="s">
        <v>587</v>
      </c>
      <c r="C1292" s="87" t="s">
        <v>619</v>
      </c>
      <c r="D1292" s="88">
        <v>0</v>
      </c>
      <c r="E1292" s="89"/>
      <c r="F1292" s="89"/>
      <c r="G1292" s="87" t="str">
        <f t="shared" si="20"/>
        <v>218910200'= DIARIAS A PAGAR100000000009715087710</v>
      </c>
      <c r="H1292" s="87" t="str">
        <f>VLOOKUP(Tabela1[[#This Row],[CONCATENAR]],'Classificações - Demonstrações'!$A$5:$C$46003,2,)</f>
        <v>Outras Obrigações</v>
      </c>
      <c r="I1292" s="87"/>
    </row>
    <row r="1293" spans="1:9" ht="12.75" customHeight="1" x14ac:dyDescent="0.2">
      <c r="A1293" s="94" t="s">
        <v>5360</v>
      </c>
      <c r="B1293" s="87" t="s">
        <v>587</v>
      </c>
      <c r="C1293" s="87" t="s">
        <v>4659</v>
      </c>
      <c r="D1293" s="88">
        <v>0</v>
      </c>
      <c r="E1293" s="89"/>
      <c r="F1293" s="89"/>
      <c r="G1293" s="87" t="str">
        <f t="shared" si="20"/>
        <v>218910200'= DIARIAS A PAGAR100000000009788118798</v>
      </c>
      <c r="H1293" s="87" t="str">
        <f>VLOOKUP(Tabela1[[#This Row],[CONCATENAR]],'Classificações - Demonstrações'!$A$5:$C$46003,2,)</f>
        <v>Outras Obrigações</v>
      </c>
      <c r="I1293" s="87"/>
    </row>
    <row r="1294" spans="1:9" ht="12.75" customHeight="1" x14ac:dyDescent="0.2">
      <c r="A1294" s="94" t="s">
        <v>5360</v>
      </c>
      <c r="B1294" s="87" t="s">
        <v>587</v>
      </c>
      <c r="C1294" s="87" t="s">
        <v>620</v>
      </c>
      <c r="D1294" s="88">
        <v>0</v>
      </c>
      <c r="E1294" s="89"/>
      <c r="F1294" s="89"/>
      <c r="G1294" s="87" t="str">
        <f t="shared" si="20"/>
        <v>218910200'= DIARIAS A PAGAR100000000009860243760</v>
      </c>
      <c r="H1294" s="87" t="str">
        <f>VLOOKUP(Tabela1[[#This Row],[CONCATENAR]],'Classificações - Demonstrações'!$A$5:$C$46003,2,)</f>
        <v>Outras Obrigações</v>
      </c>
      <c r="I1294" s="87"/>
    </row>
    <row r="1295" spans="1:9" ht="12.75" customHeight="1" x14ac:dyDescent="0.2">
      <c r="A1295" s="94" t="s">
        <v>5360</v>
      </c>
      <c r="B1295" s="87" t="s">
        <v>587</v>
      </c>
      <c r="C1295" s="87" t="s">
        <v>5044</v>
      </c>
      <c r="D1295" s="88">
        <v>0</v>
      </c>
      <c r="E1295" s="89"/>
      <c r="F1295" s="89"/>
      <c r="G1295" s="87" t="str">
        <f t="shared" si="20"/>
        <v>218910200'= DIARIAS A PAGAR100000000009905589759</v>
      </c>
      <c r="H1295" s="87" t="str">
        <f>VLOOKUP(Tabela1[[#This Row],[CONCATENAR]],'Classificações - Demonstrações'!$A$5:$C$46003,2,)</f>
        <v>Outras Obrigações</v>
      </c>
      <c r="I1295" s="87"/>
    </row>
    <row r="1296" spans="1:9" ht="12.75" customHeight="1" x14ac:dyDescent="0.2">
      <c r="A1296" s="94" t="s">
        <v>5360</v>
      </c>
      <c r="B1296" s="87" t="s">
        <v>587</v>
      </c>
      <c r="C1296" s="87" t="s">
        <v>4660</v>
      </c>
      <c r="D1296" s="88">
        <v>0</v>
      </c>
      <c r="E1296" s="89"/>
      <c r="F1296" s="89"/>
      <c r="G1296" s="87" t="str">
        <f t="shared" si="20"/>
        <v>218910200'= DIARIAS A PAGAR100000000010001335758</v>
      </c>
      <c r="H1296" s="87" t="str">
        <f>VLOOKUP(Tabela1[[#This Row],[CONCATENAR]],'Classificações - Demonstrações'!$A$5:$C$46003,2,)</f>
        <v>Outras Obrigações</v>
      </c>
      <c r="I1296" s="87"/>
    </row>
    <row r="1297" spans="1:9" ht="12.75" customHeight="1" x14ac:dyDescent="0.2">
      <c r="A1297" s="94" t="s">
        <v>5360</v>
      </c>
      <c r="B1297" s="87" t="s">
        <v>587</v>
      </c>
      <c r="C1297" s="87" t="s">
        <v>4661</v>
      </c>
      <c r="D1297" s="88">
        <v>0</v>
      </c>
      <c r="E1297" s="89"/>
      <c r="F1297" s="89"/>
      <c r="G1297" s="87" t="str">
        <f t="shared" si="20"/>
        <v>218910200'= DIARIAS A PAGAR100000000010029617774</v>
      </c>
      <c r="H1297" s="87" t="str">
        <f>VLOOKUP(Tabela1[[#This Row],[CONCATENAR]],'Classificações - Demonstrações'!$A$5:$C$46003,2,)</f>
        <v>Outras Obrigações</v>
      </c>
      <c r="I1297" s="87"/>
    </row>
    <row r="1298" spans="1:9" ht="12.75" customHeight="1" x14ac:dyDescent="0.2">
      <c r="A1298" s="94" t="s">
        <v>5360</v>
      </c>
      <c r="B1298" s="87" t="s">
        <v>587</v>
      </c>
      <c r="C1298" s="87" t="s">
        <v>4662</v>
      </c>
      <c r="D1298" s="88">
        <v>0</v>
      </c>
      <c r="E1298" s="89"/>
      <c r="F1298" s="89"/>
      <c r="G1298" s="87" t="str">
        <f t="shared" si="20"/>
        <v>218910200'= DIARIAS A PAGAR100000000010037056778</v>
      </c>
      <c r="H1298" s="87" t="str">
        <f>VLOOKUP(Tabela1[[#This Row],[CONCATENAR]],'Classificações - Demonstrações'!$A$5:$C$46003,2,)</f>
        <v>Outras Obrigações</v>
      </c>
      <c r="I1298" s="87"/>
    </row>
    <row r="1299" spans="1:9" ht="12.75" customHeight="1" x14ac:dyDescent="0.2">
      <c r="A1299" s="94" t="s">
        <v>5360</v>
      </c>
      <c r="B1299" s="87" t="s">
        <v>587</v>
      </c>
      <c r="C1299" s="87" t="s">
        <v>621</v>
      </c>
      <c r="D1299" s="88">
        <v>0</v>
      </c>
      <c r="E1299" s="89"/>
      <c r="F1299" s="89"/>
      <c r="G1299" s="87" t="str">
        <f t="shared" si="20"/>
        <v>218910200'= DIARIAS A PAGAR100000000010104989750</v>
      </c>
      <c r="H1299" s="87" t="str">
        <f>VLOOKUP(Tabela1[[#This Row],[CONCATENAR]],'Classificações - Demonstrações'!$A$5:$C$46003,2,)</f>
        <v>Outras Obrigações</v>
      </c>
      <c r="I1299" s="87"/>
    </row>
    <row r="1300" spans="1:9" ht="12.75" customHeight="1" x14ac:dyDescent="0.2">
      <c r="A1300" s="94" t="s">
        <v>5360</v>
      </c>
      <c r="B1300" s="87" t="s">
        <v>587</v>
      </c>
      <c r="C1300" s="87" t="s">
        <v>5567</v>
      </c>
      <c r="D1300" s="88">
        <v>0</v>
      </c>
      <c r="E1300" s="89"/>
      <c r="F1300" s="89"/>
      <c r="G1300" s="87" t="str">
        <f t="shared" si="20"/>
        <v>218910200'= DIARIAS A PAGAR100000000010486031721</v>
      </c>
      <c r="H1300" s="87" t="str">
        <f>VLOOKUP(Tabela1[[#This Row],[CONCATENAR]],'Classificações - Demonstrações'!$A$5:$C$46003,2,)</f>
        <v>Outras Obrigações</v>
      </c>
      <c r="I1300" s="87"/>
    </row>
    <row r="1301" spans="1:9" ht="12.75" customHeight="1" x14ac:dyDescent="0.2">
      <c r="A1301" s="94" t="s">
        <v>5360</v>
      </c>
      <c r="B1301" s="87" t="s">
        <v>587</v>
      </c>
      <c r="C1301" s="87" t="s">
        <v>4663</v>
      </c>
      <c r="D1301" s="88">
        <v>0</v>
      </c>
      <c r="E1301" s="89"/>
      <c r="F1301" s="89"/>
      <c r="G1301" s="87" t="str">
        <f t="shared" si="20"/>
        <v>218910200'= DIARIAS A PAGAR100000000010505533731</v>
      </c>
      <c r="H1301" s="87" t="str">
        <f>VLOOKUP(Tabela1[[#This Row],[CONCATENAR]],'Classificações - Demonstrações'!$A$5:$C$46003,2,)</f>
        <v>Outras Obrigações</v>
      </c>
      <c r="I1301" s="87"/>
    </row>
    <row r="1302" spans="1:9" ht="12.75" customHeight="1" x14ac:dyDescent="0.2">
      <c r="A1302" s="94" t="s">
        <v>5360</v>
      </c>
      <c r="B1302" s="87" t="s">
        <v>587</v>
      </c>
      <c r="C1302" s="87" t="s">
        <v>6301</v>
      </c>
      <c r="D1302" s="88">
        <v>0</v>
      </c>
      <c r="E1302" s="89"/>
      <c r="F1302" s="89"/>
      <c r="G1302" s="87" t="str">
        <f t="shared" si="20"/>
        <v>218910200'= DIARIAS A PAGAR100000000010601806778</v>
      </c>
      <c r="H1302" s="87" t="str">
        <f>VLOOKUP(Tabela1[[#This Row],[CONCATENAR]],'Classificações - Demonstrações'!$A$5:$C$46003,2,)</f>
        <v>Outras Obrigações</v>
      </c>
      <c r="I1302" s="87"/>
    </row>
    <row r="1303" spans="1:9" ht="12.75" customHeight="1" x14ac:dyDescent="0.2">
      <c r="A1303" s="94" t="s">
        <v>5360</v>
      </c>
      <c r="B1303" s="87" t="s">
        <v>587</v>
      </c>
      <c r="C1303" s="87" t="s">
        <v>4547</v>
      </c>
      <c r="D1303" s="88">
        <v>0</v>
      </c>
      <c r="E1303" s="89"/>
      <c r="F1303" s="89"/>
      <c r="G1303" s="87" t="str">
        <f t="shared" si="20"/>
        <v>218910200'= DIARIAS A PAGAR100000000010613752775</v>
      </c>
      <c r="H1303" s="87" t="str">
        <f>VLOOKUP(Tabela1[[#This Row],[CONCATENAR]],'Classificações - Demonstrações'!$A$5:$C$46003,2,)</f>
        <v>Outras Obrigações</v>
      </c>
      <c r="I1303" s="87"/>
    </row>
    <row r="1304" spans="1:9" ht="12.75" customHeight="1" x14ac:dyDescent="0.2">
      <c r="A1304" s="94" t="s">
        <v>5360</v>
      </c>
      <c r="B1304" s="87" t="s">
        <v>587</v>
      </c>
      <c r="C1304" s="87" t="s">
        <v>622</v>
      </c>
      <c r="D1304" s="88">
        <v>0</v>
      </c>
      <c r="E1304" s="89"/>
      <c r="F1304" s="89"/>
      <c r="G1304" s="87" t="str">
        <f t="shared" si="20"/>
        <v>218910200'= DIARIAS A PAGAR100000000010678049785</v>
      </c>
      <c r="H1304" s="87" t="str">
        <f>VLOOKUP(Tabela1[[#This Row],[CONCATENAR]],'Classificações - Demonstrações'!$A$5:$C$46003,2,)</f>
        <v>Outras Obrigações</v>
      </c>
      <c r="I1304" s="87"/>
    </row>
    <row r="1305" spans="1:9" ht="12.75" customHeight="1" x14ac:dyDescent="0.2">
      <c r="A1305" s="94" t="s">
        <v>5360</v>
      </c>
      <c r="B1305" s="87" t="s">
        <v>587</v>
      </c>
      <c r="C1305" s="87" t="s">
        <v>623</v>
      </c>
      <c r="D1305" s="88">
        <v>0</v>
      </c>
      <c r="E1305" s="89"/>
      <c r="F1305" s="89"/>
      <c r="G1305" s="87" t="str">
        <f t="shared" si="20"/>
        <v>218910200'= DIARIAS A PAGAR100000000010748275703</v>
      </c>
      <c r="H1305" s="87" t="str">
        <f>VLOOKUP(Tabela1[[#This Row],[CONCATENAR]],'Classificações - Demonstrações'!$A$5:$C$46003,2,)</f>
        <v>Outras Obrigações</v>
      </c>
      <c r="I1305" s="87"/>
    </row>
    <row r="1306" spans="1:9" ht="12.75" customHeight="1" x14ac:dyDescent="0.2">
      <c r="A1306" s="94" t="s">
        <v>5360</v>
      </c>
      <c r="B1306" s="87" t="s">
        <v>587</v>
      </c>
      <c r="C1306" s="87" t="s">
        <v>4811</v>
      </c>
      <c r="D1306" s="88">
        <v>0</v>
      </c>
      <c r="E1306" s="89"/>
      <c r="F1306" s="89"/>
      <c r="G1306" s="87" t="str">
        <f t="shared" si="20"/>
        <v>218910200'= DIARIAS A PAGAR100000000010761818723</v>
      </c>
      <c r="H1306" s="87" t="str">
        <f>VLOOKUP(Tabela1[[#This Row],[CONCATENAR]],'Classificações - Demonstrações'!$A$5:$C$46003,2,)</f>
        <v>Outras Obrigações</v>
      </c>
      <c r="I1306" s="87"/>
    </row>
    <row r="1307" spans="1:9" ht="12.75" customHeight="1" x14ac:dyDescent="0.2">
      <c r="A1307" s="94" t="s">
        <v>5360</v>
      </c>
      <c r="B1307" s="87" t="s">
        <v>587</v>
      </c>
      <c r="C1307" s="87" t="s">
        <v>5151</v>
      </c>
      <c r="D1307" s="88">
        <v>0</v>
      </c>
      <c r="E1307" s="89"/>
      <c r="F1307" s="89"/>
      <c r="G1307" s="87" t="str">
        <f t="shared" si="20"/>
        <v>218910200'= DIARIAS A PAGAR100000000010930568788</v>
      </c>
      <c r="H1307" s="87" t="str">
        <f>VLOOKUP(Tabela1[[#This Row],[CONCATENAR]],'Classificações - Demonstrações'!$A$5:$C$46003,2,)</f>
        <v>Outras Obrigações</v>
      </c>
      <c r="I1307" s="87"/>
    </row>
    <row r="1308" spans="1:9" ht="12.75" customHeight="1" x14ac:dyDescent="0.2">
      <c r="A1308" s="94" t="s">
        <v>5360</v>
      </c>
      <c r="B1308" s="87" t="s">
        <v>587</v>
      </c>
      <c r="C1308" s="87" t="s">
        <v>624</v>
      </c>
      <c r="D1308" s="88">
        <v>0</v>
      </c>
      <c r="E1308" s="89"/>
      <c r="F1308" s="89"/>
      <c r="G1308" s="87" t="str">
        <f t="shared" si="20"/>
        <v>218910200'= DIARIAS A PAGAR100000000010946153744</v>
      </c>
      <c r="H1308" s="87" t="str">
        <f>VLOOKUP(Tabela1[[#This Row],[CONCATENAR]],'Classificações - Demonstrações'!$A$5:$C$46003,2,)</f>
        <v>Outras Obrigações</v>
      </c>
      <c r="I1308" s="87"/>
    </row>
    <row r="1309" spans="1:9" ht="12.75" customHeight="1" x14ac:dyDescent="0.2">
      <c r="A1309" s="94" t="s">
        <v>5360</v>
      </c>
      <c r="B1309" s="87" t="s">
        <v>587</v>
      </c>
      <c r="C1309" s="87" t="s">
        <v>4812</v>
      </c>
      <c r="D1309" s="88">
        <v>0</v>
      </c>
      <c r="E1309" s="89"/>
      <c r="F1309" s="89"/>
      <c r="G1309" s="87" t="str">
        <f t="shared" si="20"/>
        <v>218910200'= DIARIAS A PAGAR100000000010980620783</v>
      </c>
      <c r="H1309" s="87" t="str">
        <f>VLOOKUP(Tabela1[[#This Row],[CONCATENAR]],'Classificações - Demonstrações'!$A$5:$C$46003,2,)</f>
        <v>Outras Obrigações</v>
      </c>
      <c r="I1309" s="87"/>
    </row>
    <row r="1310" spans="1:9" ht="12.75" customHeight="1" x14ac:dyDescent="0.2">
      <c r="A1310" s="94" t="s">
        <v>5360</v>
      </c>
      <c r="B1310" s="87" t="s">
        <v>587</v>
      </c>
      <c r="C1310" s="87" t="s">
        <v>4813</v>
      </c>
      <c r="D1310" s="88">
        <v>0</v>
      </c>
      <c r="E1310" s="89"/>
      <c r="F1310" s="89"/>
      <c r="G1310" s="87" t="str">
        <f t="shared" si="20"/>
        <v>218910200'= DIARIAS A PAGAR100000000010986852708</v>
      </c>
      <c r="H1310" s="87" t="str">
        <f>VLOOKUP(Tabela1[[#This Row],[CONCATENAR]],'Classificações - Demonstrações'!$A$5:$C$46003,2,)</f>
        <v>Outras Obrigações</v>
      </c>
      <c r="I1310" s="87"/>
    </row>
    <row r="1311" spans="1:9" ht="12.75" customHeight="1" x14ac:dyDescent="0.2">
      <c r="A1311" s="94" t="s">
        <v>5360</v>
      </c>
      <c r="B1311" s="87" t="s">
        <v>587</v>
      </c>
      <c r="C1311" s="87" t="s">
        <v>5045</v>
      </c>
      <c r="D1311" s="88">
        <v>0</v>
      </c>
      <c r="E1311" s="89"/>
      <c r="F1311" s="89"/>
      <c r="G1311" s="87" t="str">
        <f t="shared" si="20"/>
        <v>218910200'= DIARIAS A PAGAR100000000011036758770</v>
      </c>
      <c r="H1311" s="87" t="str">
        <f>VLOOKUP(Tabela1[[#This Row],[CONCATENAR]],'Classificações - Demonstrações'!$A$5:$C$46003,2,)</f>
        <v>Outras Obrigações</v>
      </c>
      <c r="I1311" s="87"/>
    </row>
    <row r="1312" spans="1:9" ht="12.75" customHeight="1" x14ac:dyDescent="0.2">
      <c r="A1312" s="94" t="s">
        <v>5360</v>
      </c>
      <c r="B1312" s="87" t="s">
        <v>587</v>
      </c>
      <c r="C1312" s="87" t="s">
        <v>4548</v>
      </c>
      <c r="D1312" s="88">
        <v>0</v>
      </c>
      <c r="E1312" s="89"/>
      <c r="F1312" s="89"/>
      <c r="G1312" s="87" t="str">
        <f t="shared" si="20"/>
        <v>218910200'= DIARIAS A PAGAR100000000011037627709</v>
      </c>
      <c r="H1312" s="87" t="str">
        <f>VLOOKUP(Tabela1[[#This Row],[CONCATENAR]],'Classificações - Demonstrações'!$A$5:$C$46003,2,)</f>
        <v>Outras Obrigações</v>
      </c>
      <c r="I1312" s="87"/>
    </row>
    <row r="1313" spans="1:9" ht="12.75" customHeight="1" x14ac:dyDescent="0.2">
      <c r="A1313" s="94" t="s">
        <v>5360</v>
      </c>
      <c r="B1313" s="87" t="s">
        <v>587</v>
      </c>
      <c r="C1313" s="87" t="s">
        <v>4814</v>
      </c>
      <c r="D1313" s="88">
        <v>0</v>
      </c>
      <c r="E1313" s="89"/>
      <c r="F1313" s="89"/>
      <c r="G1313" s="87" t="str">
        <f t="shared" si="20"/>
        <v>218910200'= DIARIAS A PAGAR100000000011100014799</v>
      </c>
      <c r="H1313" s="87" t="str">
        <f>VLOOKUP(Tabela1[[#This Row],[CONCATENAR]],'Classificações - Demonstrações'!$A$5:$C$46003,2,)</f>
        <v>Outras Obrigações</v>
      </c>
      <c r="I1313" s="87"/>
    </row>
    <row r="1314" spans="1:9" ht="12.75" customHeight="1" x14ac:dyDescent="0.2">
      <c r="A1314" s="94" t="s">
        <v>5360</v>
      </c>
      <c r="B1314" s="87" t="s">
        <v>587</v>
      </c>
      <c r="C1314" s="87" t="s">
        <v>625</v>
      </c>
      <c r="D1314" s="88">
        <v>0</v>
      </c>
      <c r="E1314" s="89"/>
      <c r="F1314" s="89"/>
      <c r="G1314" s="87" t="str">
        <f t="shared" si="20"/>
        <v>218910200'= DIARIAS A PAGAR100000000011103375741</v>
      </c>
      <c r="H1314" s="87" t="str">
        <f>VLOOKUP(Tabela1[[#This Row],[CONCATENAR]],'Classificações - Demonstrações'!$A$5:$C$46003,2,)</f>
        <v>Outras Obrigações</v>
      </c>
      <c r="I1314" s="87"/>
    </row>
    <row r="1315" spans="1:9" ht="12.75" customHeight="1" x14ac:dyDescent="0.2">
      <c r="A1315" s="94" t="s">
        <v>5360</v>
      </c>
      <c r="B1315" s="87" t="s">
        <v>587</v>
      </c>
      <c r="C1315" s="87" t="s">
        <v>626</v>
      </c>
      <c r="D1315" s="88">
        <v>0</v>
      </c>
      <c r="E1315" s="89"/>
      <c r="F1315" s="89"/>
      <c r="G1315" s="87" t="str">
        <f t="shared" si="20"/>
        <v>218910200'= DIARIAS A PAGAR100000000011103390708</v>
      </c>
      <c r="H1315" s="87" t="str">
        <f>VLOOKUP(Tabela1[[#This Row],[CONCATENAR]],'Classificações - Demonstrações'!$A$5:$C$46003,2,)</f>
        <v>Outras Obrigações</v>
      </c>
      <c r="I1315" s="87"/>
    </row>
    <row r="1316" spans="1:9" ht="12.75" customHeight="1" x14ac:dyDescent="0.2">
      <c r="A1316" s="94" t="s">
        <v>5360</v>
      </c>
      <c r="B1316" s="87" t="s">
        <v>587</v>
      </c>
      <c r="C1316" s="87" t="s">
        <v>627</v>
      </c>
      <c r="D1316" s="88">
        <v>0</v>
      </c>
      <c r="E1316" s="89"/>
      <c r="F1316" s="89"/>
      <c r="G1316" s="87" t="str">
        <f t="shared" si="20"/>
        <v>218910200'= DIARIAS A PAGAR100000000011106048741</v>
      </c>
      <c r="H1316" s="87" t="str">
        <f>VLOOKUP(Tabela1[[#This Row],[CONCATENAR]],'Classificações - Demonstrações'!$A$5:$C$46003,2,)</f>
        <v>Outras Obrigações</v>
      </c>
      <c r="I1316" s="87"/>
    </row>
    <row r="1317" spans="1:9" ht="12.75" customHeight="1" x14ac:dyDescent="0.2">
      <c r="A1317" s="94" t="s">
        <v>5360</v>
      </c>
      <c r="B1317" s="87" t="s">
        <v>587</v>
      </c>
      <c r="C1317" s="87" t="s">
        <v>4815</v>
      </c>
      <c r="D1317" s="88">
        <v>0</v>
      </c>
      <c r="E1317" s="89"/>
      <c r="F1317" s="89"/>
      <c r="G1317" s="87" t="str">
        <f t="shared" si="20"/>
        <v>218910200'= DIARIAS A PAGAR100000000011146789700</v>
      </c>
      <c r="H1317" s="87" t="str">
        <f>VLOOKUP(Tabela1[[#This Row],[CONCATENAR]],'Classificações - Demonstrações'!$A$5:$C$46003,2,)</f>
        <v>Outras Obrigações</v>
      </c>
      <c r="I1317" s="87"/>
    </row>
    <row r="1318" spans="1:9" ht="12.75" customHeight="1" x14ac:dyDescent="0.2">
      <c r="A1318" s="94" t="s">
        <v>5360</v>
      </c>
      <c r="B1318" s="87" t="s">
        <v>587</v>
      </c>
      <c r="C1318" s="87" t="s">
        <v>4664</v>
      </c>
      <c r="D1318" s="88">
        <v>0</v>
      </c>
      <c r="E1318" s="89"/>
      <c r="F1318" s="89"/>
      <c r="G1318" s="87" t="str">
        <f t="shared" si="20"/>
        <v>218910200'= DIARIAS A PAGAR100000000011485189756</v>
      </c>
      <c r="H1318" s="87" t="str">
        <f>VLOOKUP(Tabela1[[#This Row],[CONCATENAR]],'Classificações - Demonstrações'!$A$5:$C$46003,2,)</f>
        <v>Outras Obrigações</v>
      </c>
      <c r="I1318" s="87"/>
    </row>
    <row r="1319" spans="1:9" ht="12.75" customHeight="1" x14ac:dyDescent="0.2">
      <c r="A1319" s="94" t="s">
        <v>5360</v>
      </c>
      <c r="B1319" s="87" t="s">
        <v>587</v>
      </c>
      <c r="C1319" s="87" t="s">
        <v>4816</v>
      </c>
      <c r="D1319" s="88">
        <v>0</v>
      </c>
      <c r="E1319" s="89"/>
      <c r="F1319" s="89"/>
      <c r="G1319" s="87" t="str">
        <f t="shared" si="20"/>
        <v>218910200'= DIARIAS A PAGAR100000000011496825748</v>
      </c>
      <c r="H1319" s="87" t="str">
        <f>VLOOKUP(Tabela1[[#This Row],[CONCATENAR]],'Classificações - Demonstrações'!$A$5:$C$46003,2,)</f>
        <v>Outras Obrigações</v>
      </c>
      <c r="I1319" s="87"/>
    </row>
    <row r="1320" spans="1:9" ht="12.75" customHeight="1" x14ac:dyDescent="0.2">
      <c r="A1320" s="94" t="s">
        <v>5360</v>
      </c>
      <c r="B1320" s="87" t="s">
        <v>587</v>
      </c>
      <c r="C1320" s="87" t="s">
        <v>628</v>
      </c>
      <c r="D1320" s="88">
        <v>0</v>
      </c>
      <c r="E1320" s="89"/>
      <c r="F1320" s="89"/>
      <c r="G1320" s="87" t="str">
        <f t="shared" si="20"/>
        <v>218910200'= DIARIAS A PAGAR100000000011621224716</v>
      </c>
      <c r="H1320" s="87" t="str">
        <f>VLOOKUP(Tabela1[[#This Row],[CONCATENAR]],'Classificações - Demonstrações'!$A$5:$C$46003,2,)</f>
        <v>Outras Obrigações</v>
      </c>
      <c r="I1320" s="87"/>
    </row>
    <row r="1321" spans="1:9" ht="12.75" customHeight="1" x14ac:dyDescent="0.2">
      <c r="A1321" s="94" t="s">
        <v>5360</v>
      </c>
      <c r="B1321" s="87" t="s">
        <v>587</v>
      </c>
      <c r="C1321" s="87" t="s">
        <v>629</v>
      </c>
      <c r="D1321" s="88">
        <v>0</v>
      </c>
      <c r="E1321" s="89"/>
      <c r="F1321" s="89"/>
      <c r="G1321" s="87" t="str">
        <f t="shared" si="20"/>
        <v>218910200'= DIARIAS A PAGAR100000000011882656792</v>
      </c>
      <c r="H1321" s="87" t="str">
        <f>VLOOKUP(Tabela1[[#This Row],[CONCATENAR]],'Classificações - Demonstrações'!$A$5:$C$46003,2,)</f>
        <v>Outras Obrigações</v>
      </c>
      <c r="I1321" s="87"/>
    </row>
    <row r="1322" spans="1:9" ht="12.75" customHeight="1" x14ac:dyDescent="0.2">
      <c r="A1322" s="94" t="s">
        <v>5360</v>
      </c>
      <c r="B1322" s="87" t="s">
        <v>587</v>
      </c>
      <c r="C1322" s="87" t="s">
        <v>630</v>
      </c>
      <c r="D1322" s="88">
        <v>0</v>
      </c>
      <c r="E1322" s="89"/>
      <c r="F1322" s="89"/>
      <c r="G1322" s="87" t="str">
        <f t="shared" si="20"/>
        <v>218910200'= DIARIAS A PAGAR100000000011888471719</v>
      </c>
      <c r="H1322" s="87" t="str">
        <f>VLOOKUP(Tabela1[[#This Row],[CONCATENAR]],'Classificações - Demonstrações'!$A$5:$C$46003,2,)</f>
        <v>Outras Obrigações</v>
      </c>
      <c r="I1322" s="87"/>
    </row>
    <row r="1323" spans="1:9" ht="12.75" customHeight="1" x14ac:dyDescent="0.2">
      <c r="A1323" s="94" t="s">
        <v>5360</v>
      </c>
      <c r="B1323" s="87" t="s">
        <v>587</v>
      </c>
      <c r="C1323" s="87" t="s">
        <v>631</v>
      </c>
      <c r="D1323" s="88">
        <v>0</v>
      </c>
      <c r="E1323" s="89"/>
      <c r="F1323" s="89"/>
      <c r="G1323" s="87" t="str">
        <f t="shared" si="20"/>
        <v>218910200'= DIARIAS A PAGAR100000000011930765797</v>
      </c>
      <c r="H1323" s="87" t="str">
        <f>VLOOKUP(Tabela1[[#This Row],[CONCATENAR]],'Classificações - Demonstrações'!$A$5:$C$46003,2,)</f>
        <v>Outras Obrigações</v>
      </c>
      <c r="I1323" s="87"/>
    </row>
    <row r="1324" spans="1:9" ht="12.75" customHeight="1" x14ac:dyDescent="0.2">
      <c r="A1324" s="94" t="s">
        <v>5360</v>
      </c>
      <c r="B1324" s="87" t="s">
        <v>587</v>
      </c>
      <c r="C1324" s="87" t="s">
        <v>4817</v>
      </c>
      <c r="D1324" s="88">
        <v>1000</v>
      </c>
      <c r="E1324" s="89"/>
      <c r="F1324" s="89"/>
      <c r="G1324" s="87" t="str">
        <f t="shared" si="20"/>
        <v>218910200'= DIARIAS A PAGAR100000000011975532740</v>
      </c>
      <c r="H1324" s="87" t="str">
        <f>VLOOKUP(Tabela1[[#This Row],[CONCATENAR]],'Classificações - Demonstrações'!$A$5:$C$46003,2,)</f>
        <v>Outras Obrigações</v>
      </c>
      <c r="I1324" s="87"/>
    </row>
    <row r="1325" spans="1:9" ht="12.75" customHeight="1" x14ac:dyDescent="0.2">
      <c r="A1325" s="94" t="s">
        <v>5360</v>
      </c>
      <c r="B1325" s="87" t="s">
        <v>587</v>
      </c>
      <c r="C1325" s="87" t="s">
        <v>632</v>
      </c>
      <c r="D1325" s="88">
        <v>0</v>
      </c>
      <c r="E1325" s="89"/>
      <c r="F1325" s="89"/>
      <c r="G1325" s="87" t="str">
        <f t="shared" si="20"/>
        <v>218910200'= DIARIAS A PAGAR100000000012010504720</v>
      </c>
      <c r="H1325" s="87" t="str">
        <f>VLOOKUP(Tabela1[[#This Row],[CONCATENAR]],'Classificações - Demonstrações'!$A$5:$C$46003,2,)</f>
        <v>Outras Obrigações</v>
      </c>
      <c r="I1325" s="87"/>
    </row>
    <row r="1326" spans="1:9" ht="12.75" customHeight="1" x14ac:dyDescent="0.2">
      <c r="A1326" s="94" t="s">
        <v>5360</v>
      </c>
      <c r="B1326" s="87" t="s">
        <v>587</v>
      </c>
      <c r="C1326" s="87" t="s">
        <v>4549</v>
      </c>
      <c r="D1326" s="88">
        <v>0</v>
      </c>
      <c r="E1326" s="89"/>
      <c r="F1326" s="89"/>
      <c r="G1326" s="87" t="str">
        <f t="shared" si="20"/>
        <v>218910200'= DIARIAS A PAGAR100000000012099934738</v>
      </c>
      <c r="H1326" s="87" t="str">
        <f>VLOOKUP(Tabela1[[#This Row],[CONCATENAR]],'Classificações - Demonstrações'!$A$5:$C$46003,2,)</f>
        <v>Outras Obrigações</v>
      </c>
      <c r="I1326" s="87"/>
    </row>
    <row r="1327" spans="1:9" ht="12.75" customHeight="1" x14ac:dyDescent="0.2">
      <c r="A1327" s="94" t="s">
        <v>5360</v>
      </c>
      <c r="B1327" s="87" t="s">
        <v>587</v>
      </c>
      <c r="C1327" s="87" t="s">
        <v>633</v>
      </c>
      <c r="D1327" s="88">
        <v>0</v>
      </c>
      <c r="E1327" s="89"/>
      <c r="F1327" s="89"/>
      <c r="G1327" s="87" t="str">
        <f t="shared" si="20"/>
        <v>218910200'= DIARIAS A PAGAR100000000012116849705</v>
      </c>
      <c r="H1327" s="87" t="str">
        <f>VLOOKUP(Tabela1[[#This Row],[CONCATENAR]],'Classificações - Demonstrações'!$A$5:$C$46003,2,)</f>
        <v>Outras Obrigações</v>
      </c>
      <c r="I1327" s="87"/>
    </row>
    <row r="1328" spans="1:9" ht="12.75" customHeight="1" x14ac:dyDescent="0.2">
      <c r="A1328" s="94" t="s">
        <v>5360</v>
      </c>
      <c r="B1328" s="87" t="s">
        <v>587</v>
      </c>
      <c r="C1328" s="87" t="s">
        <v>634</v>
      </c>
      <c r="D1328" s="88">
        <v>0</v>
      </c>
      <c r="E1328" s="89"/>
      <c r="F1328" s="89"/>
      <c r="G1328" s="87" t="str">
        <f t="shared" si="20"/>
        <v>218910200'= DIARIAS A PAGAR100000000012153142725</v>
      </c>
      <c r="H1328" s="87" t="str">
        <f>VLOOKUP(Tabela1[[#This Row],[CONCATENAR]],'Classificações - Demonstrações'!$A$5:$C$46003,2,)</f>
        <v>Outras Obrigações</v>
      </c>
      <c r="I1328" s="87"/>
    </row>
    <row r="1329" spans="1:9" ht="12.75" customHeight="1" x14ac:dyDescent="0.2">
      <c r="A1329" s="94" t="s">
        <v>5360</v>
      </c>
      <c r="B1329" s="87" t="s">
        <v>587</v>
      </c>
      <c r="C1329" s="87" t="s">
        <v>635</v>
      </c>
      <c r="D1329" s="88">
        <v>0</v>
      </c>
      <c r="E1329" s="89"/>
      <c r="F1329" s="89"/>
      <c r="G1329" s="87" t="str">
        <f t="shared" si="20"/>
        <v>218910200'= DIARIAS A PAGAR100000000012178480705</v>
      </c>
      <c r="H1329" s="87" t="str">
        <f>VLOOKUP(Tabela1[[#This Row],[CONCATENAR]],'Classificações - Demonstrações'!$A$5:$C$46003,2,)</f>
        <v>Outras Obrigações</v>
      </c>
      <c r="I1329" s="87"/>
    </row>
    <row r="1330" spans="1:9" ht="12.75" customHeight="1" x14ac:dyDescent="0.2">
      <c r="A1330" s="94" t="s">
        <v>5360</v>
      </c>
      <c r="B1330" s="87" t="s">
        <v>587</v>
      </c>
      <c r="C1330" s="87" t="s">
        <v>4818</v>
      </c>
      <c r="D1330" s="88">
        <v>0</v>
      </c>
      <c r="E1330" s="89"/>
      <c r="F1330" s="89"/>
      <c r="G1330" s="87" t="str">
        <f t="shared" si="20"/>
        <v>218910200'= DIARIAS A PAGAR100000000012179313764</v>
      </c>
      <c r="H1330" s="87" t="str">
        <f>VLOOKUP(Tabela1[[#This Row],[CONCATENAR]],'Classificações - Demonstrações'!$A$5:$C$46003,2,)</f>
        <v>Outras Obrigações</v>
      </c>
      <c r="I1330" s="87"/>
    </row>
    <row r="1331" spans="1:9" ht="12.75" customHeight="1" x14ac:dyDescent="0.2">
      <c r="A1331" s="94" t="s">
        <v>5360</v>
      </c>
      <c r="B1331" s="87" t="s">
        <v>587</v>
      </c>
      <c r="C1331" s="87" t="s">
        <v>4819</v>
      </c>
      <c r="D1331" s="88">
        <v>0</v>
      </c>
      <c r="E1331" s="89"/>
      <c r="F1331" s="89"/>
      <c r="G1331" s="87" t="str">
        <f t="shared" si="20"/>
        <v>218910200'= DIARIAS A PAGAR100000000012228568759</v>
      </c>
      <c r="H1331" s="87" t="str">
        <f>VLOOKUP(Tabela1[[#This Row],[CONCATENAR]],'Classificações - Demonstrações'!$A$5:$C$46003,2,)</f>
        <v>Outras Obrigações</v>
      </c>
      <c r="I1331" s="87"/>
    </row>
    <row r="1332" spans="1:9" ht="12.75" customHeight="1" x14ac:dyDescent="0.2">
      <c r="A1332" s="94" t="s">
        <v>5360</v>
      </c>
      <c r="B1332" s="87" t="s">
        <v>587</v>
      </c>
      <c r="C1332" s="87" t="s">
        <v>4820</v>
      </c>
      <c r="D1332" s="88">
        <v>0</v>
      </c>
      <c r="E1332" s="89"/>
      <c r="F1332" s="89"/>
      <c r="G1332" s="87" t="str">
        <f t="shared" si="20"/>
        <v>218910200'= DIARIAS A PAGAR100000000012232702707</v>
      </c>
      <c r="H1332" s="87" t="str">
        <f>VLOOKUP(Tabela1[[#This Row],[CONCATENAR]],'Classificações - Demonstrações'!$A$5:$C$46003,2,)</f>
        <v>Outras Obrigações</v>
      </c>
      <c r="I1332" s="87"/>
    </row>
    <row r="1333" spans="1:9" ht="12.75" customHeight="1" x14ac:dyDescent="0.2">
      <c r="A1333" s="94" t="s">
        <v>5360</v>
      </c>
      <c r="B1333" s="87" t="s">
        <v>587</v>
      </c>
      <c r="C1333" s="87" t="s">
        <v>4665</v>
      </c>
      <c r="D1333" s="88">
        <v>0</v>
      </c>
      <c r="E1333" s="89"/>
      <c r="F1333" s="89"/>
      <c r="G1333" s="87" t="str">
        <f t="shared" si="20"/>
        <v>218910200'= DIARIAS A PAGAR100000000012243559706</v>
      </c>
      <c r="H1333" s="87" t="str">
        <f>VLOOKUP(Tabela1[[#This Row],[CONCATENAR]],'Classificações - Demonstrações'!$A$5:$C$46003,2,)</f>
        <v>Outras Obrigações</v>
      </c>
      <c r="I1333" s="87"/>
    </row>
    <row r="1334" spans="1:9" ht="12.75" customHeight="1" x14ac:dyDescent="0.2">
      <c r="A1334" s="94" t="s">
        <v>5360</v>
      </c>
      <c r="B1334" s="87" t="s">
        <v>587</v>
      </c>
      <c r="C1334" s="87" t="s">
        <v>4550</v>
      </c>
      <c r="D1334" s="88">
        <v>0</v>
      </c>
      <c r="E1334" s="89"/>
      <c r="F1334" s="89"/>
      <c r="G1334" s="87" t="str">
        <f t="shared" si="20"/>
        <v>218910200'= DIARIAS A PAGAR100000000012339353726</v>
      </c>
      <c r="H1334" s="87" t="str">
        <f>VLOOKUP(Tabela1[[#This Row],[CONCATENAR]],'Classificações - Demonstrações'!$A$5:$C$46003,2,)</f>
        <v>Outras Obrigações</v>
      </c>
      <c r="I1334" s="87"/>
    </row>
    <row r="1335" spans="1:9" ht="12.75" customHeight="1" x14ac:dyDescent="0.2">
      <c r="A1335" s="94" t="s">
        <v>5360</v>
      </c>
      <c r="B1335" s="87" t="s">
        <v>587</v>
      </c>
      <c r="C1335" s="87" t="s">
        <v>636</v>
      </c>
      <c r="D1335" s="88">
        <v>0</v>
      </c>
      <c r="E1335" s="89"/>
      <c r="F1335" s="89"/>
      <c r="G1335" s="87" t="str">
        <f t="shared" si="20"/>
        <v>218910200'= DIARIAS A PAGAR100000000012360509756</v>
      </c>
      <c r="H1335" s="87" t="str">
        <f>VLOOKUP(Tabela1[[#This Row],[CONCATENAR]],'Classificações - Demonstrações'!$A$5:$C$46003,2,)</f>
        <v>Outras Obrigações</v>
      </c>
      <c r="I1335" s="87"/>
    </row>
    <row r="1336" spans="1:9" ht="12.75" customHeight="1" x14ac:dyDescent="0.2">
      <c r="A1336" s="94" t="s">
        <v>5360</v>
      </c>
      <c r="B1336" s="87" t="s">
        <v>587</v>
      </c>
      <c r="C1336" s="87" t="s">
        <v>637</v>
      </c>
      <c r="D1336" s="88">
        <v>0</v>
      </c>
      <c r="E1336" s="89"/>
      <c r="F1336" s="89"/>
      <c r="G1336" s="87" t="str">
        <f t="shared" si="20"/>
        <v>218910200'= DIARIAS A PAGAR100000000012416679775</v>
      </c>
      <c r="H1336" s="87" t="str">
        <f>VLOOKUP(Tabela1[[#This Row],[CONCATENAR]],'Classificações - Demonstrações'!$A$5:$C$46003,2,)</f>
        <v>Outras Obrigações</v>
      </c>
      <c r="I1336" s="87"/>
    </row>
    <row r="1337" spans="1:9" ht="12.75" customHeight="1" x14ac:dyDescent="0.2">
      <c r="A1337" s="94" t="s">
        <v>5360</v>
      </c>
      <c r="B1337" s="87" t="s">
        <v>587</v>
      </c>
      <c r="C1337" s="87" t="s">
        <v>5816</v>
      </c>
      <c r="D1337" s="88">
        <v>0</v>
      </c>
      <c r="E1337" s="89"/>
      <c r="F1337" s="89"/>
      <c r="G1337" s="87" t="str">
        <f t="shared" si="20"/>
        <v>218910200'= DIARIAS A PAGAR100000000012455956792</v>
      </c>
      <c r="H1337" s="87" t="str">
        <f>VLOOKUP(Tabela1[[#This Row],[CONCATENAR]],'Classificações - Demonstrações'!$A$5:$C$46003,2,)</f>
        <v>Outras Obrigações</v>
      </c>
      <c r="I1337" s="87"/>
    </row>
    <row r="1338" spans="1:9" ht="12.75" customHeight="1" x14ac:dyDescent="0.2">
      <c r="A1338" s="94" t="s">
        <v>5360</v>
      </c>
      <c r="B1338" s="87" t="s">
        <v>587</v>
      </c>
      <c r="C1338" s="87" t="s">
        <v>4666</v>
      </c>
      <c r="D1338" s="88">
        <v>0</v>
      </c>
      <c r="E1338" s="89"/>
      <c r="F1338" s="89"/>
      <c r="G1338" s="87" t="str">
        <f t="shared" si="20"/>
        <v>218910200'= DIARIAS A PAGAR100000000012517248761</v>
      </c>
      <c r="H1338" s="87" t="str">
        <f>VLOOKUP(Tabela1[[#This Row],[CONCATENAR]],'Classificações - Demonstrações'!$A$5:$C$46003,2,)</f>
        <v>Outras Obrigações</v>
      </c>
      <c r="I1338" s="87"/>
    </row>
    <row r="1339" spans="1:9" ht="12.75" customHeight="1" x14ac:dyDescent="0.2">
      <c r="A1339" s="94" t="s">
        <v>5360</v>
      </c>
      <c r="B1339" s="87" t="s">
        <v>587</v>
      </c>
      <c r="C1339" s="87" t="s">
        <v>638</v>
      </c>
      <c r="D1339" s="88">
        <v>0</v>
      </c>
      <c r="E1339" s="89"/>
      <c r="F1339" s="89"/>
      <c r="G1339" s="87" t="str">
        <f t="shared" si="20"/>
        <v>218910200'= DIARIAS A PAGAR100000000012530156786</v>
      </c>
      <c r="H1339" s="87" t="str">
        <f>VLOOKUP(Tabela1[[#This Row],[CONCATENAR]],'Classificações - Demonstrações'!$A$5:$C$46003,2,)</f>
        <v>Outras Obrigações</v>
      </c>
      <c r="I1339" s="87"/>
    </row>
    <row r="1340" spans="1:9" ht="12.75" customHeight="1" x14ac:dyDescent="0.2">
      <c r="A1340" s="94" t="s">
        <v>5360</v>
      </c>
      <c r="B1340" s="87" t="s">
        <v>587</v>
      </c>
      <c r="C1340" s="87" t="s">
        <v>639</v>
      </c>
      <c r="D1340" s="88">
        <v>1400</v>
      </c>
      <c r="E1340" s="89"/>
      <c r="F1340" s="89"/>
      <c r="G1340" s="87" t="str">
        <f t="shared" si="20"/>
        <v>218910200'= DIARIAS A PAGAR100000000012609177704</v>
      </c>
      <c r="H1340" s="87" t="str">
        <f>VLOOKUP(Tabela1[[#This Row],[CONCATENAR]],'Classificações - Demonstrações'!$A$5:$C$46003,2,)</f>
        <v>Outras Obrigações</v>
      </c>
      <c r="I1340" s="87"/>
    </row>
    <row r="1341" spans="1:9" ht="12.75" customHeight="1" x14ac:dyDescent="0.2">
      <c r="A1341" s="94" t="s">
        <v>5360</v>
      </c>
      <c r="B1341" s="87" t="s">
        <v>587</v>
      </c>
      <c r="C1341" s="87" t="s">
        <v>4645</v>
      </c>
      <c r="D1341" s="88">
        <v>0</v>
      </c>
      <c r="E1341" s="89"/>
      <c r="F1341" s="89"/>
      <c r="G1341" s="87" t="str">
        <f t="shared" si="20"/>
        <v>218910200'= DIARIAS A PAGAR100000000012662396776</v>
      </c>
      <c r="H1341" s="87" t="str">
        <f>VLOOKUP(Tabela1[[#This Row],[CONCATENAR]],'Classificações - Demonstrações'!$A$5:$C$46003,2,)</f>
        <v>Outras Obrigações</v>
      </c>
      <c r="I1341" s="87"/>
    </row>
    <row r="1342" spans="1:9" ht="12.75" customHeight="1" x14ac:dyDescent="0.2">
      <c r="A1342" s="94" t="s">
        <v>5360</v>
      </c>
      <c r="B1342" s="87" t="s">
        <v>587</v>
      </c>
      <c r="C1342" s="87" t="s">
        <v>6302</v>
      </c>
      <c r="D1342" s="88">
        <v>0</v>
      </c>
      <c r="E1342" s="89"/>
      <c r="F1342" s="89"/>
      <c r="G1342" s="87" t="str">
        <f t="shared" si="20"/>
        <v>218910200'= DIARIAS A PAGAR100000000012767938714</v>
      </c>
      <c r="H1342" s="87" t="str">
        <f>VLOOKUP(Tabela1[[#This Row],[CONCATENAR]],'Classificações - Demonstrações'!$A$5:$C$46003,2,)</f>
        <v>Outras Obrigações</v>
      </c>
      <c r="I1342" s="87"/>
    </row>
    <row r="1343" spans="1:9" ht="12.75" customHeight="1" x14ac:dyDescent="0.2">
      <c r="A1343" s="94" t="s">
        <v>5360</v>
      </c>
      <c r="B1343" s="87" t="s">
        <v>587</v>
      </c>
      <c r="C1343" s="87" t="s">
        <v>640</v>
      </c>
      <c r="D1343" s="88">
        <v>0</v>
      </c>
      <c r="E1343" s="89"/>
      <c r="F1343" s="89"/>
      <c r="G1343" s="87" t="str">
        <f t="shared" si="20"/>
        <v>218910200'= DIARIAS A PAGAR100000000012952461716</v>
      </c>
      <c r="H1343" s="87" t="str">
        <f>VLOOKUP(Tabela1[[#This Row],[CONCATENAR]],'Classificações - Demonstrações'!$A$5:$C$46003,2,)</f>
        <v>Outras Obrigações</v>
      </c>
      <c r="I1343" s="87"/>
    </row>
    <row r="1344" spans="1:9" ht="12.75" customHeight="1" x14ac:dyDescent="0.2">
      <c r="A1344" s="94" t="s">
        <v>5360</v>
      </c>
      <c r="B1344" s="87" t="s">
        <v>587</v>
      </c>
      <c r="C1344" s="87" t="s">
        <v>641</v>
      </c>
      <c r="D1344" s="88">
        <v>0</v>
      </c>
      <c r="E1344" s="89"/>
      <c r="F1344" s="89"/>
      <c r="G1344" s="87" t="str">
        <f t="shared" si="20"/>
        <v>218910200'= DIARIAS A PAGAR100000000013045670792</v>
      </c>
      <c r="H1344" s="87" t="str">
        <f>VLOOKUP(Tabela1[[#This Row],[CONCATENAR]],'Classificações - Demonstrações'!$A$5:$C$46003,2,)</f>
        <v>Outras Obrigações</v>
      </c>
      <c r="I1344" s="87"/>
    </row>
    <row r="1345" spans="1:9" ht="12.75" customHeight="1" x14ac:dyDescent="0.2">
      <c r="A1345" s="94" t="s">
        <v>5360</v>
      </c>
      <c r="B1345" s="87" t="s">
        <v>587</v>
      </c>
      <c r="C1345" s="87" t="s">
        <v>4667</v>
      </c>
      <c r="D1345" s="88">
        <v>0</v>
      </c>
      <c r="E1345" s="89"/>
      <c r="F1345" s="89"/>
      <c r="G1345" s="87" t="str">
        <f t="shared" si="20"/>
        <v>218910200'= DIARIAS A PAGAR100000000013069590713</v>
      </c>
      <c r="H1345" s="87" t="str">
        <f>VLOOKUP(Tabela1[[#This Row],[CONCATENAR]],'Classificações - Demonstrações'!$A$5:$C$46003,2,)</f>
        <v>Outras Obrigações</v>
      </c>
      <c r="I1345" s="87"/>
    </row>
    <row r="1346" spans="1:9" ht="12.75" customHeight="1" x14ac:dyDescent="0.2">
      <c r="A1346" s="94" t="s">
        <v>5360</v>
      </c>
      <c r="B1346" s="87" t="s">
        <v>587</v>
      </c>
      <c r="C1346" s="87" t="s">
        <v>6303</v>
      </c>
      <c r="D1346" s="88">
        <v>0</v>
      </c>
      <c r="E1346" s="89"/>
      <c r="F1346" s="89"/>
      <c r="G1346" s="87" t="str">
        <f t="shared" si="20"/>
        <v>218910200'= DIARIAS A PAGAR100000000013095356714</v>
      </c>
      <c r="H1346" s="87" t="str">
        <f>VLOOKUP(Tabela1[[#This Row],[CONCATENAR]],'Classificações - Demonstrações'!$A$5:$C$46003,2,)</f>
        <v>Outras Obrigações</v>
      </c>
      <c r="I1346" s="87"/>
    </row>
    <row r="1347" spans="1:9" ht="12.75" customHeight="1" x14ac:dyDescent="0.2">
      <c r="A1347" s="94" t="s">
        <v>5360</v>
      </c>
      <c r="B1347" s="87" t="s">
        <v>587</v>
      </c>
      <c r="C1347" s="87" t="s">
        <v>4821</v>
      </c>
      <c r="D1347" s="88">
        <v>0</v>
      </c>
      <c r="E1347" s="89"/>
      <c r="F1347" s="89"/>
      <c r="G1347" s="87" t="str">
        <f t="shared" si="20"/>
        <v>218910200'= DIARIAS A PAGAR100000000013151337767</v>
      </c>
      <c r="H1347" s="87" t="str">
        <f>VLOOKUP(Tabela1[[#This Row],[CONCATENAR]],'Classificações - Demonstrações'!$A$5:$C$46003,2,)</f>
        <v>Outras Obrigações</v>
      </c>
      <c r="I1347" s="87"/>
    </row>
    <row r="1348" spans="1:9" ht="12.75" customHeight="1" x14ac:dyDescent="0.2">
      <c r="A1348" s="94" t="s">
        <v>5360</v>
      </c>
      <c r="B1348" s="87" t="s">
        <v>587</v>
      </c>
      <c r="C1348" s="87" t="s">
        <v>4668</v>
      </c>
      <c r="D1348" s="88">
        <v>0</v>
      </c>
      <c r="E1348" s="89"/>
      <c r="F1348" s="89"/>
      <c r="G1348" s="87" t="str">
        <f t="shared" si="20"/>
        <v>218910200'= DIARIAS A PAGAR100000000013151475728</v>
      </c>
      <c r="H1348" s="87" t="str">
        <f>VLOOKUP(Tabela1[[#This Row],[CONCATENAR]],'Classificações - Demonstrações'!$A$5:$C$46003,2,)</f>
        <v>Outras Obrigações</v>
      </c>
      <c r="I1348" s="87"/>
    </row>
    <row r="1349" spans="1:9" ht="12.75" customHeight="1" x14ac:dyDescent="0.2">
      <c r="A1349" s="94" t="s">
        <v>5360</v>
      </c>
      <c r="B1349" s="87" t="s">
        <v>587</v>
      </c>
      <c r="C1349" s="87" t="s">
        <v>4669</v>
      </c>
      <c r="D1349" s="88">
        <v>0</v>
      </c>
      <c r="E1349" s="89"/>
      <c r="F1349" s="89"/>
      <c r="G1349" s="87" t="str">
        <f t="shared" ref="G1349:G1412" si="21">CONCATENATE(A1349,B1349,C1349)</f>
        <v>218910200'= DIARIAS A PAGAR100000000013258665710</v>
      </c>
      <c r="H1349" s="87" t="str">
        <f>VLOOKUP(Tabela1[[#This Row],[CONCATENAR]],'Classificações - Demonstrações'!$A$5:$C$46003,2,)</f>
        <v>Outras Obrigações</v>
      </c>
      <c r="I1349" s="87"/>
    </row>
    <row r="1350" spans="1:9" ht="12.75" customHeight="1" x14ac:dyDescent="0.2">
      <c r="A1350" s="94" t="s">
        <v>5360</v>
      </c>
      <c r="B1350" s="87" t="s">
        <v>587</v>
      </c>
      <c r="C1350" s="87" t="s">
        <v>642</v>
      </c>
      <c r="D1350" s="88">
        <v>0</v>
      </c>
      <c r="E1350" s="89"/>
      <c r="F1350" s="89"/>
      <c r="G1350" s="87" t="str">
        <f t="shared" si="21"/>
        <v>218910200'= DIARIAS A PAGAR100000000013333191776</v>
      </c>
      <c r="H1350" s="87" t="str">
        <f>VLOOKUP(Tabela1[[#This Row],[CONCATENAR]],'Classificações - Demonstrações'!$A$5:$C$46003,2,)</f>
        <v>Outras Obrigações</v>
      </c>
      <c r="I1350" s="87"/>
    </row>
    <row r="1351" spans="1:9" ht="12.75" customHeight="1" x14ac:dyDescent="0.2">
      <c r="A1351" s="94" t="s">
        <v>5360</v>
      </c>
      <c r="B1351" s="87" t="s">
        <v>587</v>
      </c>
      <c r="C1351" s="87" t="s">
        <v>643</v>
      </c>
      <c r="D1351" s="88">
        <v>0</v>
      </c>
      <c r="E1351" s="89"/>
      <c r="F1351" s="89"/>
      <c r="G1351" s="87" t="str">
        <f t="shared" si="21"/>
        <v>218910200'= DIARIAS A PAGAR100000000013480920764</v>
      </c>
      <c r="H1351" s="87" t="str">
        <f>VLOOKUP(Tabela1[[#This Row],[CONCATENAR]],'Classificações - Demonstrações'!$A$5:$C$46003,2,)</f>
        <v>Outras Obrigações</v>
      </c>
      <c r="I1351" s="87"/>
    </row>
    <row r="1352" spans="1:9" ht="12.75" customHeight="1" x14ac:dyDescent="0.2">
      <c r="A1352" s="94" t="s">
        <v>5360</v>
      </c>
      <c r="B1352" s="87" t="s">
        <v>587</v>
      </c>
      <c r="C1352" s="87" t="s">
        <v>644</v>
      </c>
      <c r="D1352" s="88">
        <v>0</v>
      </c>
      <c r="E1352" s="89"/>
      <c r="F1352" s="89"/>
      <c r="G1352" s="87" t="str">
        <f t="shared" si="21"/>
        <v>218910200'= DIARIAS A PAGAR100000000013497946788</v>
      </c>
      <c r="H1352" s="87" t="str">
        <f>VLOOKUP(Tabela1[[#This Row],[CONCATENAR]],'Classificações - Demonstrações'!$A$5:$C$46003,2,)</f>
        <v>Outras Obrigações</v>
      </c>
      <c r="I1352" s="87"/>
    </row>
    <row r="1353" spans="1:9" ht="12.75" customHeight="1" x14ac:dyDescent="0.2">
      <c r="A1353" s="94" t="s">
        <v>5360</v>
      </c>
      <c r="B1353" s="87" t="s">
        <v>587</v>
      </c>
      <c r="C1353" s="87" t="s">
        <v>645</v>
      </c>
      <c r="D1353" s="88">
        <v>0</v>
      </c>
      <c r="E1353" s="89"/>
      <c r="F1353" s="89"/>
      <c r="G1353" s="87" t="str">
        <f t="shared" si="21"/>
        <v>218910200'= DIARIAS A PAGAR100000000013533250750</v>
      </c>
      <c r="H1353" s="87" t="str">
        <f>VLOOKUP(Tabela1[[#This Row],[CONCATENAR]],'Classificações - Demonstrações'!$A$5:$C$46003,2,)</f>
        <v>Outras Obrigações</v>
      </c>
      <c r="I1353" s="87"/>
    </row>
    <row r="1354" spans="1:9" ht="12.75" customHeight="1" x14ac:dyDescent="0.2">
      <c r="A1354" s="94" t="s">
        <v>5360</v>
      </c>
      <c r="B1354" s="87" t="s">
        <v>587</v>
      </c>
      <c r="C1354" s="87" t="s">
        <v>646</v>
      </c>
      <c r="D1354" s="88">
        <v>0</v>
      </c>
      <c r="E1354" s="89"/>
      <c r="F1354" s="89"/>
      <c r="G1354" s="87" t="str">
        <f t="shared" si="21"/>
        <v>218910200'= DIARIAS A PAGAR100000000013668542767</v>
      </c>
      <c r="H1354" s="87" t="str">
        <f>VLOOKUP(Tabela1[[#This Row],[CONCATENAR]],'Classificações - Demonstrações'!$A$5:$C$46003,2,)</f>
        <v>Outras Obrigações</v>
      </c>
      <c r="I1354" s="87"/>
    </row>
    <row r="1355" spans="1:9" ht="12.75" customHeight="1" x14ac:dyDescent="0.2">
      <c r="A1355" s="94" t="s">
        <v>5360</v>
      </c>
      <c r="B1355" s="87" t="s">
        <v>587</v>
      </c>
      <c r="C1355" s="87" t="s">
        <v>647</v>
      </c>
      <c r="D1355" s="88">
        <v>0</v>
      </c>
      <c r="E1355" s="89"/>
      <c r="F1355" s="89"/>
      <c r="G1355" s="87" t="str">
        <f t="shared" si="21"/>
        <v>218910200'= DIARIAS A PAGAR100000000013874852709</v>
      </c>
      <c r="H1355" s="87" t="str">
        <f>VLOOKUP(Tabela1[[#This Row],[CONCATENAR]],'Classificações - Demonstrações'!$A$5:$C$46003,2,)</f>
        <v>Outras Obrigações</v>
      </c>
      <c r="I1355" s="87"/>
    </row>
    <row r="1356" spans="1:9" ht="12.75" customHeight="1" x14ac:dyDescent="0.2">
      <c r="A1356" s="94" t="s">
        <v>5360</v>
      </c>
      <c r="B1356" s="87" t="s">
        <v>587</v>
      </c>
      <c r="C1356" s="87" t="s">
        <v>648</v>
      </c>
      <c r="D1356" s="88">
        <v>0</v>
      </c>
      <c r="E1356" s="89"/>
      <c r="F1356" s="89"/>
      <c r="G1356" s="87" t="str">
        <f t="shared" si="21"/>
        <v>218910200'= DIARIAS A PAGAR100000000013900181721</v>
      </c>
      <c r="H1356" s="87" t="str">
        <f>VLOOKUP(Tabela1[[#This Row],[CONCATENAR]],'Classificações - Demonstrações'!$A$5:$C$46003,2,)</f>
        <v>Outras Obrigações</v>
      </c>
      <c r="I1356" s="87"/>
    </row>
    <row r="1357" spans="1:9" ht="12.75" customHeight="1" x14ac:dyDescent="0.2">
      <c r="A1357" s="94" t="s">
        <v>5360</v>
      </c>
      <c r="B1357" s="87" t="s">
        <v>587</v>
      </c>
      <c r="C1357" s="87" t="s">
        <v>649</v>
      </c>
      <c r="D1357" s="88">
        <v>0</v>
      </c>
      <c r="E1357" s="89"/>
      <c r="F1357" s="89"/>
      <c r="G1357" s="87" t="str">
        <f t="shared" si="21"/>
        <v>218910200'= DIARIAS A PAGAR100000000013986385797</v>
      </c>
      <c r="H1357" s="87" t="str">
        <f>VLOOKUP(Tabela1[[#This Row],[CONCATENAR]],'Classificações - Demonstrações'!$A$5:$C$46003,2,)</f>
        <v>Outras Obrigações</v>
      </c>
      <c r="I1357" s="87"/>
    </row>
    <row r="1358" spans="1:9" ht="12.75" customHeight="1" x14ac:dyDescent="0.2">
      <c r="A1358" s="94" t="s">
        <v>5360</v>
      </c>
      <c r="B1358" s="87" t="s">
        <v>587</v>
      </c>
      <c r="C1358" s="87" t="s">
        <v>650</v>
      </c>
      <c r="D1358" s="88">
        <v>0</v>
      </c>
      <c r="E1358" s="89"/>
      <c r="F1358" s="89"/>
      <c r="G1358" s="87" t="str">
        <f t="shared" si="21"/>
        <v>218910200'= DIARIAS A PAGAR100000000014026860728</v>
      </c>
      <c r="H1358" s="87" t="str">
        <f>VLOOKUP(Tabela1[[#This Row],[CONCATENAR]],'Classificações - Demonstrações'!$A$5:$C$46003,2,)</f>
        <v>Outras Obrigações</v>
      </c>
      <c r="I1358" s="87"/>
    </row>
    <row r="1359" spans="1:9" ht="12.75" customHeight="1" x14ac:dyDescent="0.2">
      <c r="A1359" s="94" t="s">
        <v>5360</v>
      </c>
      <c r="B1359" s="87" t="s">
        <v>587</v>
      </c>
      <c r="C1359" s="87" t="s">
        <v>6304</v>
      </c>
      <c r="D1359" s="88">
        <v>0</v>
      </c>
      <c r="E1359" s="89"/>
      <c r="F1359" s="89"/>
      <c r="G1359" s="87" t="str">
        <f t="shared" si="21"/>
        <v>218910200'= DIARIAS A PAGAR100000000014056482799</v>
      </c>
      <c r="H1359" s="87" t="str">
        <f>VLOOKUP(Tabela1[[#This Row],[CONCATENAR]],'Classificações - Demonstrações'!$A$5:$C$46003,2,)</f>
        <v>Outras Obrigações</v>
      </c>
      <c r="I1359" s="87"/>
    </row>
    <row r="1360" spans="1:9" ht="12.75" customHeight="1" x14ac:dyDescent="0.2">
      <c r="A1360" s="94" t="s">
        <v>5360</v>
      </c>
      <c r="B1360" s="87" t="s">
        <v>587</v>
      </c>
      <c r="C1360" s="87" t="s">
        <v>651</v>
      </c>
      <c r="D1360" s="88">
        <v>0</v>
      </c>
      <c r="E1360" s="89"/>
      <c r="F1360" s="89"/>
      <c r="G1360" s="87" t="str">
        <f t="shared" si="21"/>
        <v>218910200'= DIARIAS A PAGAR100000000014061197762</v>
      </c>
      <c r="H1360" s="87" t="str">
        <f>VLOOKUP(Tabela1[[#This Row],[CONCATENAR]],'Classificações - Demonstrações'!$A$5:$C$46003,2,)</f>
        <v>Outras Obrigações</v>
      </c>
      <c r="I1360" s="87"/>
    </row>
    <row r="1361" spans="1:9" ht="12.75" customHeight="1" x14ac:dyDescent="0.2">
      <c r="A1361" s="94" t="s">
        <v>5360</v>
      </c>
      <c r="B1361" s="87" t="s">
        <v>587</v>
      </c>
      <c r="C1361" s="87" t="s">
        <v>652</v>
      </c>
      <c r="D1361" s="88">
        <v>0</v>
      </c>
      <c r="E1361" s="89"/>
      <c r="F1361" s="89"/>
      <c r="G1361" s="87" t="str">
        <f t="shared" si="21"/>
        <v>218910200'= DIARIAS A PAGAR100000000014075506754</v>
      </c>
      <c r="H1361" s="87" t="str">
        <f>VLOOKUP(Tabela1[[#This Row],[CONCATENAR]],'Classificações - Demonstrações'!$A$5:$C$46003,2,)</f>
        <v>Outras Obrigações</v>
      </c>
      <c r="I1361" s="87"/>
    </row>
    <row r="1362" spans="1:9" ht="12.75" customHeight="1" x14ac:dyDescent="0.2">
      <c r="A1362" s="94" t="s">
        <v>5360</v>
      </c>
      <c r="B1362" s="87" t="s">
        <v>587</v>
      </c>
      <c r="C1362" s="87" t="s">
        <v>6305</v>
      </c>
      <c r="D1362" s="88">
        <v>0</v>
      </c>
      <c r="E1362" s="89"/>
      <c r="F1362" s="89"/>
      <c r="G1362" s="87" t="str">
        <f t="shared" si="21"/>
        <v>218910200'= DIARIAS A PAGAR100000000014109781760</v>
      </c>
      <c r="H1362" s="87" t="str">
        <f>VLOOKUP(Tabela1[[#This Row],[CONCATENAR]],'Classificações - Demonstrações'!$A$5:$C$46003,2,)</f>
        <v>Outras Obrigações</v>
      </c>
      <c r="I1362" s="87"/>
    </row>
    <row r="1363" spans="1:9" ht="12.75" customHeight="1" x14ac:dyDescent="0.2">
      <c r="A1363" s="94" t="s">
        <v>5360</v>
      </c>
      <c r="B1363" s="87" t="s">
        <v>587</v>
      </c>
      <c r="C1363" s="87" t="s">
        <v>653</v>
      </c>
      <c r="D1363" s="88">
        <v>0</v>
      </c>
      <c r="E1363" s="89"/>
      <c r="F1363" s="89"/>
      <c r="G1363" s="87" t="str">
        <f t="shared" si="21"/>
        <v>218910200'= DIARIAS A PAGAR100000000014134212707</v>
      </c>
      <c r="H1363" s="87" t="str">
        <f>VLOOKUP(Tabela1[[#This Row],[CONCATENAR]],'Classificações - Demonstrações'!$A$5:$C$46003,2,)</f>
        <v>Outras Obrigações</v>
      </c>
      <c r="I1363" s="87"/>
    </row>
    <row r="1364" spans="1:9" ht="12.75" customHeight="1" x14ac:dyDescent="0.2">
      <c r="A1364" s="94" t="s">
        <v>5360</v>
      </c>
      <c r="B1364" s="87" t="s">
        <v>587</v>
      </c>
      <c r="C1364" s="87" t="s">
        <v>654</v>
      </c>
      <c r="D1364" s="88">
        <v>0</v>
      </c>
      <c r="E1364" s="89"/>
      <c r="F1364" s="89"/>
      <c r="G1364" s="87" t="str">
        <f t="shared" si="21"/>
        <v>218910200'= DIARIAS A PAGAR100000000014445540773</v>
      </c>
      <c r="H1364" s="87" t="str">
        <f>VLOOKUP(Tabela1[[#This Row],[CONCATENAR]],'Classificações - Demonstrações'!$A$5:$C$46003,2,)</f>
        <v>Outras Obrigações</v>
      </c>
      <c r="I1364" s="87"/>
    </row>
    <row r="1365" spans="1:9" ht="12.75" customHeight="1" x14ac:dyDescent="0.2">
      <c r="A1365" s="94" t="s">
        <v>5360</v>
      </c>
      <c r="B1365" s="87" t="s">
        <v>587</v>
      </c>
      <c r="C1365" s="87" t="s">
        <v>655</v>
      </c>
      <c r="D1365" s="88">
        <v>0</v>
      </c>
      <c r="E1365" s="89"/>
      <c r="F1365" s="89"/>
      <c r="G1365" s="87" t="str">
        <f t="shared" si="21"/>
        <v>218910200'= DIARIAS A PAGAR100000000014449976703</v>
      </c>
      <c r="H1365" s="87" t="str">
        <f>VLOOKUP(Tabela1[[#This Row],[CONCATENAR]],'Classificações - Demonstrações'!$A$5:$C$46003,2,)</f>
        <v>Outras Obrigações</v>
      </c>
      <c r="I1365" s="87"/>
    </row>
    <row r="1366" spans="1:9" ht="12.75" customHeight="1" x14ac:dyDescent="0.2">
      <c r="A1366" s="94" t="s">
        <v>5360</v>
      </c>
      <c r="B1366" s="87" t="s">
        <v>587</v>
      </c>
      <c r="C1366" s="87" t="s">
        <v>656</v>
      </c>
      <c r="D1366" s="88">
        <v>0</v>
      </c>
      <c r="E1366" s="89"/>
      <c r="F1366" s="89"/>
      <c r="G1366" s="87" t="str">
        <f t="shared" si="21"/>
        <v>218910200'= DIARIAS A PAGAR100000000014455754776</v>
      </c>
      <c r="H1366" s="87" t="str">
        <f>VLOOKUP(Tabela1[[#This Row],[CONCATENAR]],'Classificações - Demonstrações'!$A$5:$C$46003,2,)</f>
        <v>Outras Obrigações</v>
      </c>
      <c r="I1366" s="87"/>
    </row>
    <row r="1367" spans="1:9" ht="12.75" customHeight="1" x14ac:dyDescent="0.2">
      <c r="A1367" s="94" t="s">
        <v>5360</v>
      </c>
      <c r="B1367" s="87" t="s">
        <v>587</v>
      </c>
      <c r="C1367" s="87" t="s">
        <v>657</v>
      </c>
      <c r="D1367" s="88">
        <v>0</v>
      </c>
      <c r="E1367" s="89"/>
      <c r="F1367" s="89"/>
      <c r="G1367" s="87" t="str">
        <f t="shared" si="21"/>
        <v>218910200'= DIARIAS A PAGAR100000000014461291790</v>
      </c>
      <c r="H1367" s="87" t="str">
        <f>VLOOKUP(Tabela1[[#This Row],[CONCATENAR]],'Classificações - Demonstrações'!$A$5:$C$46003,2,)</f>
        <v>Outras Obrigações</v>
      </c>
      <c r="I1367" s="87"/>
    </row>
    <row r="1368" spans="1:9" ht="12.75" customHeight="1" x14ac:dyDescent="0.2">
      <c r="A1368" s="94" t="s">
        <v>5360</v>
      </c>
      <c r="B1368" s="87" t="s">
        <v>587</v>
      </c>
      <c r="C1368" s="87" t="s">
        <v>4822</v>
      </c>
      <c r="D1368" s="88">
        <v>0</v>
      </c>
      <c r="E1368" s="89"/>
      <c r="F1368" s="89"/>
      <c r="G1368" s="87" t="str">
        <f t="shared" si="21"/>
        <v>218910200'= DIARIAS A PAGAR100000000014483941712</v>
      </c>
      <c r="H1368" s="87" t="str">
        <f>VLOOKUP(Tabela1[[#This Row],[CONCATENAR]],'Classificações - Demonstrações'!$A$5:$C$46003,2,)</f>
        <v>Outras Obrigações</v>
      </c>
      <c r="I1368" s="87"/>
    </row>
    <row r="1369" spans="1:9" ht="12.75" customHeight="1" x14ac:dyDescent="0.2">
      <c r="A1369" s="94" t="s">
        <v>5360</v>
      </c>
      <c r="B1369" s="87" t="s">
        <v>587</v>
      </c>
      <c r="C1369" s="87" t="s">
        <v>4823</v>
      </c>
      <c r="D1369" s="88">
        <v>0</v>
      </c>
      <c r="E1369" s="89"/>
      <c r="F1369" s="89"/>
      <c r="G1369" s="87" t="str">
        <f t="shared" si="21"/>
        <v>218910200'= DIARIAS A PAGAR100000000014513251778</v>
      </c>
      <c r="H1369" s="87" t="str">
        <f>VLOOKUP(Tabela1[[#This Row],[CONCATENAR]],'Classificações - Demonstrações'!$A$5:$C$46003,2,)</f>
        <v>Outras Obrigações</v>
      </c>
      <c r="I1369" s="87"/>
    </row>
    <row r="1370" spans="1:9" ht="12.75" customHeight="1" x14ac:dyDescent="0.2">
      <c r="A1370" s="94" t="s">
        <v>5360</v>
      </c>
      <c r="B1370" s="87" t="s">
        <v>587</v>
      </c>
      <c r="C1370" s="87" t="s">
        <v>658</v>
      </c>
      <c r="D1370" s="88">
        <v>0</v>
      </c>
      <c r="E1370" s="89"/>
      <c r="F1370" s="89"/>
      <c r="G1370" s="87" t="str">
        <f t="shared" si="21"/>
        <v>218910200'= DIARIAS A PAGAR100000000014515368796</v>
      </c>
      <c r="H1370" s="87" t="str">
        <f>VLOOKUP(Tabela1[[#This Row],[CONCATENAR]],'Classificações - Demonstrações'!$A$5:$C$46003,2,)</f>
        <v>Outras Obrigações</v>
      </c>
      <c r="I1370" s="87"/>
    </row>
    <row r="1371" spans="1:9" ht="12.75" customHeight="1" x14ac:dyDescent="0.2">
      <c r="A1371" s="94" t="s">
        <v>5360</v>
      </c>
      <c r="B1371" s="87" t="s">
        <v>587</v>
      </c>
      <c r="C1371" s="87" t="s">
        <v>4670</v>
      </c>
      <c r="D1371" s="88">
        <v>0</v>
      </c>
      <c r="E1371" s="89"/>
      <c r="F1371" s="89"/>
      <c r="G1371" s="87" t="str">
        <f t="shared" si="21"/>
        <v>218910200'= DIARIAS A PAGAR100000000014524145729</v>
      </c>
      <c r="H1371" s="87" t="str">
        <f>VLOOKUP(Tabela1[[#This Row],[CONCATENAR]],'Classificações - Demonstrações'!$A$5:$C$46003,2,)</f>
        <v>Outras Obrigações</v>
      </c>
      <c r="I1371" s="87"/>
    </row>
    <row r="1372" spans="1:9" ht="12.75" customHeight="1" x14ac:dyDescent="0.2">
      <c r="A1372" s="94" t="s">
        <v>5360</v>
      </c>
      <c r="B1372" s="87" t="s">
        <v>587</v>
      </c>
      <c r="C1372" s="87" t="s">
        <v>659</v>
      </c>
      <c r="D1372" s="88">
        <v>0</v>
      </c>
      <c r="E1372" s="89"/>
      <c r="F1372" s="89"/>
      <c r="G1372" s="87" t="str">
        <f t="shared" si="21"/>
        <v>218910200'= DIARIAS A PAGAR100000000014624773721</v>
      </c>
      <c r="H1372" s="87" t="str">
        <f>VLOOKUP(Tabela1[[#This Row],[CONCATENAR]],'Classificações - Demonstrações'!$A$5:$C$46003,2,)</f>
        <v>Outras Obrigações</v>
      </c>
      <c r="I1372" s="87"/>
    </row>
    <row r="1373" spans="1:9" ht="12.75" customHeight="1" x14ac:dyDescent="0.2">
      <c r="A1373" s="94" t="s">
        <v>5360</v>
      </c>
      <c r="B1373" s="87" t="s">
        <v>587</v>
      </c>
      <c r="C1373" s="87" t="s">
        <v>4671</v>
      </c>
      <c r="D1373" s="88">
        <v>0</v>
      </c>
      <c r="E1373" s="89"/>
      <c r="F1373" s="89"/>
      <c r="G1373" s="87" t="str">
        <f t="shared" si="21"/>
        <v>218910200'= DIARIAS A PAGAR100000000046178325134</v>
      </c>
      <c r="H1373" s="87" t="str">
        <f>VLOOKUP(Tabela1[[#This Row],[CONCATENAR]],'Classificações - Demonstrações'!$A$5:$C$46003,2,)</f>
        <v>Outras Obrigações</v>
      </c>
      <c r="I1373" s="87"/>
    </row>
    <row r="1374" spans="1:9" ht="12.75" customHeight="1" x14ac:dyDescent="0.2">
      <c r="A1374" s="94" t="s">
        <v>5360</v>
      </c>
      <c r="B1374" s="87" t="s">
        <v>587</v>
      </c>
      <c r="C1374" s="87" t="s">
        <v>4672</v>
      </c>
      <c r="D1374" s="88">
        <v>0</v>
      </c>
      <c r="E1374" s="89"/>
      <c r="F1374" s="89"/>
      <c r="G1374" s="87" t="str">
        <f t="shared" si="21"/>
        <v>218910200'= DIARIAS A PAGAR100000000060777788772</v>
      </c>
      <c r="H1374" s="87" t="str">
        <f>VLOOKUP(Tabela1[[#This Row],[CONCATENAR]],'Classificações - Demonstrações'!$A$5:$C$46003,2,)</f>
        <v>Outras Obrigações</v>
      </c>
      <c r="I1374" s="87"/>
    </row>
    <row r="1375" spans="1:9" ht="12.75" customHeight="1" x14ac:dyDescent="0.2">
      <c r="A1375" s="94" t="s">
        <v>5360</v>
      </c>
      <c r="B1375" s="87" t="s">
        <v>587</v>
      </c>
      <c r="C1375" s="87" t="s">
        <v>660</v>
      </c>
      <c r="D1375" s="88">
        <v>0</v>
      </c>
      <c r="E1375" s="89"/>
      <c r="F1375" s="89"/>
      <c r="G1375" s="87" t="str">
        <f t="shared" si="21"/>
        <v>218910200'= DIARIAS A PAGAR100000000064475867720</v>
      </c>
      <c r="H1375" s="87" t="str">
        <f>VLOOKUP(Tabela1[[#This Row],[CONCATENAR]],'Classificações - Demonstrações'!$A$5:$C$46003,2,)</f>
        <v>Outras Obrigações</v>
      </c>
      <c r="I1375" s="87"/>
    </row>
    <row r="1376" spans="1:9" ht="12.75" customHeight="1" x14ac:dyDescent="0.2">
      <c r="A1376" s="94" t="s">
        <v>5360</v>
      </c>
      <c r="B1376" s="87" t="s">
        <v>587</v>
      </c>
      <c r="C1376" s="87" t="s">
        <v>5152</v>
      </c>
      <c r="D1376" s="88">
        <v>0</v>
      </c>
      <c r="E1376" s="89"/>
      <c r="F1376" s="89"/>
      <c r="G1376" s="87" t="str">
        <f t="shared" si="21"/>
        <v>218910200'= DIARIAS A PAGAR100000000068122799787</v>
      </c>
      <c r="H1376" s="87" t="str">
        <f>VLOOKUP(Tabela1[[#This Row],[CONCATENAR]],'Classificações - Demonstrações'!$A$5:$C$46003,2,)</f>
        <v>Outras Obrigações</v>
      </c>
      <c r="I1376" s="87"/>
    </row>
    <row r="1377" spans="1:9" ht="12.75" customHeight="1" x14ac:dyDescent="0.2">
      <c r="A1377" s="94" t="s">
        <v>5360</v>
      </c>
      <c r="B1377" s="87" t="s">
        <v>587</v>
      </c>
      <c r="C1377" s="87" t="s">
        <v>5153</v>
      </c>
      <c r="D1377" s="88">
        <v>0</v>
      </c>
      <c r="E1377" s="89"/>
      <c r="F1377" s="89"/>
      <c r="G1377" s="87" t="str">
        <f t="shared" si="21"/>
        <v>218910200'= DIARIAS A PAGAR100000000075718979715</v>
      </c>
      <c r="H1377" s="87" t="str">
        <f>VLOOKUP(Tabela1[[#This Row],[CONCATENAR]],'Classificações - Demonstrações'!$A$5:$C$46003,2,)</f>
        <v>Outras Obrigações</v>
      </c>
      <c r="I1377" s="87"/>
    </row>
    <row r="1378" spans="1:9" ht="12.75" customHeight="1" x14ac:dyDescent="0.2">
      <c r="A1378" s="94" t="s">
        <v>5360</v>
      </c>
      <c r="B1378" s="87" t="s">
        <v>587</v>
      </c>
      <c r="C1378" s="87" t="s">
        <v>661</v>
      </c>
      <c r="D1378" s="88">
        <v>0</v>
      </c>
      <c r="E1378" s="89"/>
      <c r="F1378" s="89"/>
      <c r="G1378" s="87" t="str">
        <f t="shared" si="21"/>
        <v>218910200'= DIARIAS A PAGAR100000000078522471720</v>
      </c>
      <c r="H1378" s="87" t="str">
        <f>VLOOKUP(Tabela1[[#This Row],[CONCATENAR]],'Classificações - Demonstrações'!$A$5:$C$46003,2,)</f>
        <v>Outras Obrigações</v>
      </c>
      <c r="I1378" s="87"/>
    </row>
    <row r="1379" spans="1:9" ht="12.75" customHeight="1" x14ac:dyDescent="0.2">
      <c r="A1379" s="94" t="s">
        <v>5360</v>
      </c>
      <c r="B1379" s="87" t="s">
        <v>587</v>
      </c>
      <c r="C1379" s="87" t="s">
        <v>6306</v>
      </c>
      <c r="D1379" s="88">
        <v>0</v>
      </c>
      <c r="E1379" s="89"/>
      <c r="F1379" s="89"/>
      <c r="G1379" s="87" t="str">
        <f t="shared" si="21"/>
        <v>218910200'= DIARIAS A PAGAR100000000082438641720</v>
      </c>
      <c r="H1379" s="87" t="str">
        <f>VLOOKUP(Tabela1[[#This Row],[CONCATENAR]],'Classificações - Demonstrações'!$A$5:$C$46003,2,)</f>
        <v>Outras Obrigações</v>
      </c>
      <c r="I1379" s="87"/>
    </row>
    <row r="1380" spans="1:9" ht="12.75" customHeight="1" x14ac:dyDescent="0.2">
      <c r="A1380" s="94" t="s">
        <v>5360</v>
      </c>
      <c r="B1380" s="87" t="s">
        <v>587</v>
      </c>
      <c r="C1380" s="87" t="s">
        <v>4824</v>
      </c>
      <c r="D1380" s="88">
        <v>0</v>
      </c>
      <c r="E1380" s="89"/>
      <c r="F1380" s="89"/>
      <c r="G1380" s="87" t="str">
        <f t="shared" si="21"/>
        <v>218910200'= DIARIAS A PAGAR100000000086704702687</v>
      </c>
      <c r="H1380" s="87" t="str">
        <f>VLOOKUP(Tabela1[[#This Row],[CONCATENAR]],'Classificações - Demonstrações'!$A$5:$C$46003,2,)</f>
        <v>Outras Obrigações</v>
      </c>
      <c r="I1380" s="87"/>
    </row>
    <row r="1381" spans="1:9" ht="12.75" customHeight="1" x14ac:dyDescent="0.2">
      <c r="A1381" s="94" t="s">
        <v>5360</v>
      </c>
      <c r="B1381" s="87" t="s">
        <v>587</v>
      </c>
      <c r="C1381" s="87" t="s">
        <v>6307</v>
      </c>
      <c r="D1381" s="88">
        <v>0</v>
      </c>
      <c r="E1381" s="89"/>
      <c r="F1381" s="89"/>
      <c r="G1381" s="87" t="str">
        <f t="shared" si="21"/>
        <v>218910200'= DIARIAS A PAGAR100000000090521749620</v>
      </c>
      <c r="H1381" s="87" t="str">
        <f>VLOOKUP(Tabela1[[#This Row],[CONCATENAR]],'Classificações - Demonstrações'!$A$5:$C$46003,2,)</f>
        <v>Outras Obrigações</v>
      </c>
      <c r="I1381" s="87"/>
    </row>
    <row r="1382" spans="1:9" ht="12.75" customHeight="1" x14ac:dyDescent="0.2">
      <c r="A1382" s="94" t="s">
        <v>5360</v>
      </c>
      <c r="B1382" s="87" t="s">
        <v>587</v>
      </c>
      <c r="C1382" s="87" t="s">
        <v>4673</v>
      </c>
      <c r="D1382" s="88">
        <v>0</v>
      </c>
      <c r="E1382" s="89"/>
      <c r="F1382" s="89"/>
      <c r="G1382" s="87" t="str">
        <f t="shared" si="21"/>
        <v>218910200'= DIARIAS A PAGAR100000000096080558572</v>
      </c>
      <c r="H1382" s="87" t="str">
        <f>VLOOKUP(Tabela1[[#This Row],[CONCATENAR]],'Classificações - Demonstrações'!$A$5:$C$46003,2,)</f>
        <v>Outras Obrigações</v>
      </c>
      <c r="I1382" s="87"/>
    </row>
    <row r="1383" spans="1:9" ht="12.75" customHeight="1" x14ac:dyDescent="0.2">
      <c r="A1383" s="94" t="s">
        <v>5360</v>
      </c>
      <c r="B1383" s="87" t="s">
        <v>587</v>
      </c>
      <c r="C1383" s="87" t="s">
        <v>4825</v>
      </c>
      <c r="D1383" s="88">
        <v>0</v>
      </c>
      <c r="E1383" s="89"/>
      <c r="F1383" s="89"/>
      <c r="G1383" s="87" t="str">
        <f t="shared" si="21"/>
        <v>218910200'= DIARIAS A PAGAR100000000097503274700</v>
      </c>
      <c r="H1383" s="87" t="str">
        <f>VLOOKUP(Tabela1[[#This Row],[CONCATENAR]],'Classificações - Demonstrações'!$A$5:$C$46003,2,)</f>
        <v>Outras Obrigações</v>
      </c>
      <c r="I1383" s="87"/>
    </row>
    <row r="1384" spans="1:9" ht="12.75" customHeight="1" x14ac:dyDescent="0.2">
      <c r="A1384" s="94" t="s">
        <v>5360</v>
      </c>
      <c r="B1384" s="87" t="s">
        <v>587</v>
      </c>
      <c r="C1384" s="87" t="s">
        <v>4826</v>
      </c>
      <c r="D1384" s="88">
        <v>0</v>
      </c>
      <c r="E1384" s="89"/>
      <c r="F1384" s="89"/>
      <c r="G1384" s="87" t="str">
        <f t="shared" si="21"/>
        <v>218910200'= DIARIAS A PAGAR105000026600085062723</v>
      </c>
      <c r="H1384" s="87" t="str">
        <f>VLOOKUP(Tabela1[[#This Row],[CONCATENAR]],'Classificações - Demonstrações'!$A$5:$C$46003,2,)</f>
        <v>Outras Obrigações</v>
      </c>
      <c r="I1384" s="87"/>
    </row>
    <row r="1385" spans="1:9" ht="12.75" customHeight="1" x14ac:dyDescent="0.2">
      <c r="A1385" s="94" t="s">
        <v>5360</v>
      </c>
      <c r="B1385" s="87" t="s">
        <v>587</v>
      </c>
      <c r="C1385" s="87" t="s">
        <v>4827</v>
      </c>
      <c r="D1385" s="88">
        <v>0</v>
      </c>
      <c r="E1385" s="89"/>
      <c r="F1385" s="89"/>
      <c r="G1385" s="87" t="str">
        <f t="shared" si="21"/>
        <v>218910200'= DIARIAS A PAGAR105000026600345967712</v>
      </c>
      <c r="H1385" s="87" t="str">
        <f>VLOOKUP(Tabela1[[#This Row],[CONCATENAR]],'Classificações - Demonstrações'!$A$5:$C$46003,2,)</f>
        <v>Outras Obrigações</v>
      </c>
      <c r="I1385" s="87"/>
    </row>
    <row r="1386" spans="1:9" ht="12.75" customHeight="1" x14ac:dyDescent="0.2">
      <c r="A1386" s="94" t="s">
        <v>5360</v>
      </c>
      <c r="B1386" s="87" t="s">
        <v>587</v>
      </c>
      <c r="C1386" s="87" t="s">
        <v>5361</v>
      </c>
      <c r="D1386" s="88">
        <v>800</v>
      </c>
      <c r="E1386" s="89"/>
      <c r="F1386" s="89"/>
      <c r="G1386" s="87" t="str">
        <f t="shared" si="21"/>
        <v>218910200'= DIARIAS A PAGAR105000026600492815771</v>
      </c>
      <c r="H1386" s="87" t="str">
        <f>VLOOKUP(Tabela1[[#This Row],[CONCATENAR]],'Classificações - Demonstrações'!$A$5:$C$46003,2,)</f>
        <v>Outras Obrigações</v>
      </c>
      <c r="I1386" s="87"/>
    </row>
    <row r="1387" spans="1:9" ht="12.75" customHeight="1" x14ac:dyDescent="0.2">
      <c r="A1387" s="94" t="s">
        <v>5360</v>
      </c>
      <c r="B1387" s="87" t="s">
        <v>587</v>
      </c>
      <c r="C1387" s="87" t="s">
        <v>6308</v>
      </c>
      <c r="D1387" s="88">
        <v>0</v>
      </c>
      <c r="E1387" s="89"/>
      <c r="F1387" s="89"/>
      <c r="G1387" s="87" t="str">
        <f t="shared" si="21"/>
        <v>218910200'= DIARIAS A PAGAR105000026601218820713</v>
      </c>
      <c r="H1387" s="87" t="str">
        <f>VLOOKUP(Tabela1[[#This Row],[CONCATENAR]],'Classificações - Demonstrações'!$A$5:$C$46003,2,)</f>
        <v>Outras Obrigações</v>
      </c>
      <c r="I1387" s="87"/>
    </row>
    <row r="1388" spans="1:9" ht="12.75" customHeight="1" x14ac:dyDescent="0.2">
      <c r="A1388" s="94" t="s">
        <v>5360</v>
      </c>
      <c r="B1388" s="87" t="s">
        <v>587</v>
      </c>
      <c r="C1388" s="87" t="s">
        <v>4828</v>
      </c>
      <c r="D1388" s="88">
        <v>0</v>
      </c>
      <c r="E1388" s="89"/>
      <c r="F1388" s="89"/>
      <c r="G1388" s="87" t="str">
        <f t="shared" si="21"/>
        <v>218910200'= DIARIAS A PAGAR105000026601403752524</v>
      </c>
      <c r="H1388" s="87" t="str">
        <f>VLOOKUP(Tabela1[[#This Row],[CONCATENAR]],'Classificações - Demonstrações'!$A$5:$C$46003,2,)</f>
        <v>Outras Obrigações</v>
      </c>
      <c r="I1388" s="87"/>
    </row>
    <row r="1389" spans="1:9" ht="12.75" customHeight="1" x14ac:dyDescent="0.2">
      <c r="A1389" s="94" t="s">
        <v>5360</v>
      </c>
      <c r="B1389" s="87" t="s">
        <v>587</v>
      </c>
      <c r="C1389" s="87" t="s">
        <v>4829</v>
      </c>
      <c r="D1389" s="88">
        <v>0</v>
      </c>
      <c r="E1389" s="89"/>
      <c r="F1389" s="89"/>
      <c r="G1389" s="87" t="str">
        <f t="shared" si="21"/>
        <v>218910200'= DIARIAS A PAGAR105000026601406066702</v>
      </c>
      <c r="H1389" s="87" t="str">
        <f>VLOOKUP(Tabela1[[#This Row],[CONCATENAR]],'Classificações - Demonstrações'!$A$5:$C$46003,2,)</f>
        <v>Outras Obrigações</v>
      </c>
      <c r="I1389" s="87"/>
    </row>
    <row r="1390" spans="1:9" ht="12.75" customHeight="1" x14ac:dyDescent="0.2">
      <c r="A1390" s="94" t="s">
        <v>5360</v>
      </c>
      <c r="B1390" s="87" t="s">
        <v>587</v>
      </c>
      <c r="C1390" s="87" t="s">
        <v>4830</v>
      </c>
      <c r="D1390" s="88">
        <v>0</v>
      </c>
      <c r="E1390" s="89"/>
      <c r="F1390" s="89"/>
      <c r="G1390" s="87" t="str">
        <f t="shared" si="21"/>
        <v>218910200'= DIARIAS A PAGAR105000026601455185744</v>
      </c>
      <c r="H1390" s="87" t="str">
        <f>VLOOKUP(Tabela1[[#This Row],[CONCATENAR]],'Classificações - Demonstrações'!$A$5:$C$46003,2,)</f>
        <v>Outras Obrigações</v>
      </c>
      <c r="I1390" s="87"/>
    </row>
    <row r="1391" spans="1:9" ht="12.75" customHeight="1" x14ac:dyDescent="0.2">
      <c r="A1391" s="94" t="s">
        <v>5360</v>
      </c>
      <c r="B1391" s="87" t="s">
        <v>587</v>
      </c>
      <c r="C1391" s="87" t="s">
        <v>5568</v>
      </c>
      <c r="D1391" s="88">
        <v>0</v>
      </c>
      <c r="E1391" s="89"/>
      <c r="F1391" s="89"/>
      <c r="G1391" s="87" t="str">
        <f t="shared" si="21"/>
        <v>218910200'= DIARIAS A PAGAR105000026601462772790</v>
      </c>
      <c r="H1391" s="87" t="str">
        <f>VLOOKUP(Tabela1[[#This Row],[CONCATENAR]],'Classificações - Demonstrações'!$A$5:$C$46003,2,)</f>
        <v>Outras Obrigações</v>
      </c>
      <c r="I1391" s="87"/>
    </row>
    <row r="1392" spans="1:9" ht="12.75" customHeight="1" x14ac:dyDescent="0.2">
      <c r="A1392" s="94" t="s">
        <v>5360</v>
      </c>
      <c r="B1392" s="87" t="s">
        <v>587</v>
      </c>
      <c r="C1392" s="87" t="s">
        <v>4831</v>
      </c>
      <c r="D1392" s="88">
        <v>0</v>
      </c>
      <c r="E1392" s="89"/>
      <c r="F1392" s="89"/>
      <c r="G1392" s="87" t="str">
        <f t="shared" si="21"/>
        <v>218910200'= DIARIAS A PAGAR105000026601652326766</v>
      </c>
      <c r="H1392" s="87" t="str">
        <f>VLOOKUP(Tabela1[[#This Row],[CONCATENAR]],'Classificações - Demonstrações'!$A$5:$C$46003,2,)</f>
        <v>Outras Obrigações</v>
      </c>
      <c r="I1392" s="87"/>
    </row>
    <row r="1393" spans="1:9" ht="12.75" customHeight="1" x14ac:dyDescent="0.2">
      <c r="A1393" s="94" t="s">
        <v>5360</v>
      </c>
      <c r="B1393" s="87" t="s">
        <v>587</v>
      </c>
      <c r="C1393" s="87" t="s">
        <v>4832</v>
      </c>
      <c r="D1393" s="88">
        <v>0</v>
      </c>
      <c r="E1393" s="89"/>
      <c r="F1393" s="89"/>
      <c r="G1393" s="87" t="str">
        <f t="shared" si="21"/>
        <v>218910200'= DIARIAS A PAGAR105000026601851133704</v>
      </c>
      <c r="H1393" s="87" t="str">
        <f>VLOOKUP(Tabela1[[#This Row],[CONCATENAR]],'Classificações - Demonstrações'!$A$5:$C$46003,2,)</f>
        <v>Outras Obrigações</v>
      </c>
      <c r="I1393" s="87"/>
    </row>
    <row r="1394" spans="1:9" ht="12.75" customHeight="1" x14ac:dyDescent="0.2">
      <c r="A1394" s="94" t="s">
        <v>5360</v>
      </c>
      <c r="B1394" s="87" t="s">
        <v>587</v>
      </c>
      <c r="C1394" s="87" t="s">
        <v>4833</v>
      </c>
      <c r="D1394" s="88">
        <v>0</v>
      </c>
      <c r="E1394" s="89"/>
      <c r="F1394" s="89"/>
      <c r="G1394" s="87" t="str">
        <f t="shared" si="21"/>
        <v>218910200'= DIARIAS A PAGAR105000026602051085714</v>
      </c>
      <c r="H1394" s="87" t="str">
        <f>VLOOKUP(Tabela1[[#This Row],[CONCATENAR]],'Classificações - Demonstrações'!$A$5:$C$46003,2,)</f>
        <v>Outras Obrigações</v>
      </c>
      <c r="I1394" s="87"/>
    </row>
    <row r="1395" spans="1:9" ht="12.75" customHeight="1" x14ac:dyDescent="0.2">
      <c r="A1395" s="94" t="s">
        <v>5360</v>
      </c>
      <c r="B1395" s="87" t="s">
        <v>587</v>
      </c>
      <c r="C1395" s="87" t="s">
        <v>4834</v>
      </c>
      <c r="D1395" s="88">
        <v>0</v>
      </c>
      <c r="E1395" s="89"/>
      <c r="F1395" s="89"/>
      <c r="G1395" s="87" t="str">
        <f t="shared" si="21"/>
        <v>218910200'= DIARIAS A PAGAR105000026602155157738</v>
      </c>
      <c r="H1395" s="87" t="str">
        <f>VLOOKUP(Tabela1[[#This Row],[CONCATENAR]],'Classificações - Demonstrações'!$A$5:$C$46003,2,)</f>
        <v>Outras Obrigações</v>
      </c>
      <c r="I1395" s="87"/>
    </row>
    <row r="1396" spans="1:9" ht="12.75" customHeight="1" x14ac:dyDescent="0.2">
      <c r="A1396" s="94" t="s">
        <v>5360</v>
      </c>
      <c r="B1396" s="87" t="s">
        <v>587</v>
      </c>
      <c r="C1396" s="87" t="s">
        <v>5817</v>
      </c>
      <c r="D1396" s="88">
        <v>0</v>
      </c>
      <c r="E1396" s="89"/>
      <c r="F1396" s="89"/>
      <c r="G1396" s="87" t="str">
        <f t="shared" si="21"/>
        <v>218910200'= DIARIAS A PAGAR105000026602483382770</v>
      </c>
      <c r="H1396" s="87" t="str">
        <f>VLOOKUP(Tabela1[[#This Row],[CONCATENAR]],'Classificações - Demonstrações'!$A$5:$C$46003,2,)</f>
        <v>Outras Obrigações</v>
      </c>
      <c r="I1396" s="87"/>
    </row>
    <row r="1397" spans="1:9" ht="12.75" customHeight="1" x14ac:dyDescent="0.2">
      <c r="A1397" s="94" t="s">
        <v>5360</v>
      </c>
      <c r="B1397" s="87" t="s">
        <v>587</v>
      </c>
      <c r="C1397" s="87" t="s">
        <v>4835</v>
      </c>
      <c r="D1397" s="88">
        <v>0</v>
      </c>
      <c r="E1397" s="89"/>
      <c r="F1397" s="89"/>
      <c r="G1397" s="87" t="str">
        <f t="shared" si="21"/>
        <v>218910200'= DIARIAS A PAGAR105000026602505136769</v>
      </c>
      <c r="H1397" s="87" t="str">
        <f>VLOOKUP(Tabela1[[#This Row],[CONCATENAR]],'Classificações - Demonstrações'!$A$5:$C$46003,2,)</f>
        <v>Outras Obrigações</v>
      </c>
      <c r="I1397" s="87"/>
    </row>
    <row r="1398" spans="1:9" ht="12.75" customHeight="1" x14ac:dyDescent="0.2">
      <c r="A1398" s="94" t="s">
        <v>5360</v>
      </c>
      <c r="B1398" s="87" t="s">
        <v>587</v>
      </c>
      <c r="C1398" s="87" t="s">
        <v>6309</v>
      </c>
      <c r="D1398" s="88">
        <v>0</v>
      </c>
      <c r="E1398" s="89"/>
      <c r="F1398" s="89"/>
      <c r="G1398" s="87" t="str">
        <f t="shared" si="21"/>
        <v>218910200'= DIARIAS A PAGAR105000026602824380764</v>
      </c>
      <c r="H1398" s="87" t="str">
        <f>VLOOKUP(Tabela1[[#This Row],[CONCATENAR]],'Classificações - Demonstrações'!$A$5:$C$46003,2,)</f>
        <v>Outras Obrigações</v>
      </c>
      <c r="I1398" s="87"/>
    </row>
    <row r="1399" spans="1:9" ht="12.75" customHeight="1" x14ac:dyDescent="0.2">
      <c r="A1399" s="94" t="s">
        <v>5360</v>
      </c>
      <c r="B1399" s="87" t="s">
        <v>587</v>
      </c>
      <c r="C1399" s="87" t="s">
        <v>6310</v>
      </c>
      <c r="D1399" s="88">
        <v>0</v>
      </c>
      <c r="E1399" s="89"/>
      <c r="F1399" s="89"/>
      <c r="G1399" s="87" t="str">
        <f t="shared" si="21"/>
        <v>218910200'= DIARIAS A PAGAR105000026603018866797</v>
      </c>
      <c r="H1399" s="87" t="str">
        <f>VLOOKUP(Tabela1[[#This Row],[CONCATENAR]],'Classificações - Demonstrações'!$A$5:$C$46003,2,)</f>
        <v>Outras Obrigações</v>
      </c>
      <c r="I1399" s="87"/>
    </row>
    <row r="1400" spans="1:9" ht="12.75" customHeight="1" x14ac:dyDescent="0.2">
      <c r="A1400" s="94" t="s">
        <v>5360</v>
      </c>
      <c r="B1400" s="87" t="s">
        <v>587</v>
      </c>
      <c r="C1400" s="87" t="s">
        <v>4836</v>
      </c>
      <c r="D1400" s="88">
        <v>0</v>
      </c>
      <c r="E1400" s="89"/>
      <c r="F1400" s="89"/>
      <c r="G1400" s="87" t="str">
        <f t="shared" si="21"/>
        <v>218910200'= DIARIAS A PAGAR105000026603248614781</v>
      </c>
      <c r="H1400" s="87" t="str">
        <f>VLOOKUP(Tabela1[[#This Row],[CONCATENAR]],'Classificações - Demonstrações'!$A$5:$C$46003,2,)</f>
        <v>Outras Obrigações</v>
      </c>
      <c r="I1400" s="87"/>
    </row>
    <row r="1401" spans="1:9" ht="12.75" customHeight="1" x14ac:dyDescent="0.2">
      <c r="A1401" s="94" t="s">
        <v>5360</v>
      </c>
      <c r="B1401" s="87" t="s">
        <v>587</v>
      </c>
      <c r="C1401" s="87" t="s">
        <v>4837</v>
      </c>
      <c r="D1401" s="88">
        <v>0</v>
      </c>
      <c r="E1401" s="89"/>
      <c r="F1401" s="89"/>
      <c r="G1401" s="87" t="str">
        <f t="shared" si="21"/>
        <v>218910200'= DIARIAS A PAGAR105000026603344768794</v>
      </c>
      <c r="H1401" s="87" t="str">
        <f>VLOOKUP(Tabela1[[#This Row],[CONCATENAR]],'Classificações - Demonstrações'!$A$5:$C$46003,2,)</f>
        <v>Outras Obrigações</v>
      </c>
      <c r="I1401" s="87"/>
    </row>
    <row r="1402" spans="1:9" ht="12.75" customHeight="1" x14ac:dyDescent="0.2">
      <c r="A1402" s="94" t="s">
        <v>5360</v>
      </c>
      <c r="B1402" s="87" t="s">
        <v>587</v>
      </c>
      <c r="C1402" s="87" t="s">
        <v>4838</v>
      </c>
      <c r="D1402" s="88">
        <v>0</v>
      </c>
      <c r="E1402" s="89"/>
      <c r="F1402" s="89"/>
      <c r="G1402" s="87" t="str">
        <f t="shared" si="21"/>
        <v>218910200'= DIARIAS A PAGAR105000026603595051718</v>
      </c>
      <c r="H1402" s="87" t="str">
        <f>VLOOKUP(Tabela1[[#This Row],[CONCATENAR]],'Classificações - Demonstrações'!$A$5:$C$46003,2,)</f>
        <v>Outras Obrigações</v>
      </c>
      <c r="I1402" s="87"/>
    </row>
    <row r="1403" spans="1:9" ht="12.75" customHeight="1" x14ac:dyDescent="0.2">
      <c r="A1403" s="94" t="s">
        <v>5360</v>
      </c>
      <c r="B1403" s="87" t="s">
        <v>587</v>
      </c>
      <c r="C1403" s="87" t="s">
        <v>5362</v>
      </c>
      <c r="D1403" s="88">
        <v>0</v>
      </c>
      <c r="E1403" s="89"/>
      <c r="F1403" s="89"/>
      <c r="G1403" s="87" t="str">
        <f t="shared" si="21"/>
        <v>218910200'= DIARIAS A PAGAR105000026604150881782</v>
      </c>
      <c r="H1403" s="87" t="str">
        <f>VLOOKUP(Tabela1[[#This Row],[CONCATENAR]],'Classificações - Demonstrações'!$A$5:$C$46003,2,)</f>
        <v>Outras Obrigações</v>
      </c>
      <c r="I1403" s="87"/>
    </row>
    <row r="1404" spans="1:9" ht="12.75" customHeight="1" x14ac:dyDescent="0.2">
      <c r="A1404" s="94" t="s">
        <v>5360</v>
      </c>
      <c r="B1404" s="87" t="s">
        <v>587</v>
      </c>
      <c r="C1404" s="87" t="s">
        <v>5154</v>
      </c>
      <c r="D1404" s="88">
        <v>0</v>
      </c>
      <c r="E1404" s="89"/>
      <c r="F1404" s="89"/>
      <c r="G1404" s="87" t="str">
        <f t="shared" si="21"/>
        <v>218910200'= DIARIAS A PAGAR105000026604243088780</v>
      </c>
      <c r="H1404" s="87" t="str">
        <f>VLOOKUP(Tabela1[[#This Row],[CONCATENAR]],'Classificações - Demonstrações'!$A$5:$C$46003,2,)</f>
        <v>Outras Obrigações</v>
      </c>
      <c r="I1404" s="87"/>
    </row>
    <row r="1405" spans="1:9" ht="12.75" customHeight="1" x14ac:dyDescent="0.2">
      <c r="A1405" s="94" t="s">
        <v>5360</v>
      </c>
      <c r="B1405" s="87" t="s">
        <v>587</v>
      </c>
      <c r="C1405" s="87" t="s">
        <v>6311</v>
      </c>
      <c r="D1405" s="88">
        <v>0</v>
      </c>
      <c r="E1405" s="89"/>
      <c r="F1405" s="89"/>
      <c r="G1405" s="87" t="str">
        <f t="shared" si="21"/>
        <v>218910200'= DIARIAS A PAGAR105000026605280497711</v>
      </c>
      <c r="H1405" s="87" t="str">
        <f>VLOOKUP(Tabela1[[#This Row],[CONCATENAR]],'Classificações - Demonstrações'!$A$5:$C$46003,2,)</f>
        <v>Outras Obrigações</v>
      </c>
      <c r="I1405" s="87"/>
    </row>
    <row r="1406" spans="1:9" ht="12.75" customHeight="1" x14ac:dyDescent="0.2">
      <c r="A1406" s="94" t="s">
        <v>5360</v>
      </c>
      <c r="B1406" s="87" t="s">
        <v>587</v>
      </c>
      <c r="C1406" s="87" t="s">
        <v>4839</v>
      </c>
      <c r="D1406" s="88">
        <v>0</v>
      </c>
      <c r="E1406" s="89"/>
      <c r="F1406" s="89"/>
      <c r="G1406" s="87" t="str">
        <f t="shared" si="21"/>
        <v>218910200'= DIARIAS A PAGAR105000026605282052776</v>
      </c>
      <c r="H1406" s="87" t="str">
        <f>VLOOKUP(Tabela1[[#This Row],[CONCATENAR]],'Classificações - Demonstrações'!$A$5:$C$46003,2,)</f>
        <v>Outras Obrigações</v>
      </c>
      <c r="I1406" s="87"/>
    </row>
    <row r="1407" spans="1:9" ht="12.75" customHeight="1" x14ac:dyDescent="0.2">
      <c r="A1407" s="94" t="s">
        <v>5360</v>
      </c>
      <c r="B1407" s="87" t="s">
        <v>587</v>
      </c>
      <c r="C1407" s="87" t="s">
        <v>4840</v>
      </c>
      <c r="D1407" s="88">
        <v>0</v>
      </c>
      <c r="E1407" s="89"/>
      <c r="F1407" s="89"/>
      <c r="G1407" s="87" t="str">
        <f t="shared" si="21"/>
        <v>218910200'= DIARIAS A PAGAR105000026605314448726</v>
      </c>
      <c r="H1407" s="87" t="str">
        <f>VLOOKUP(Tabela1[[#This Row],[CONCATENAR]],'Classificações - Demonstrações'!$A$5:$C$46003,2,)</f>
        <v>Outras Obrigações</v>
      </c>
      <c r="I1407" s="87"/>
    </row>
    <row r="1408" spans="1:9" ht="12.75" customHeight="1" x14ac:dyDescent="0.2">
      <c r="A1408" s="94" t="s">
        <v>5360</v>
      </c>
      <c r="B1408" s="87" t="s">
        <v>587</v>
      </c>
      <c r="C1408" s="87" t="s">
        <v>5818</v>
      </c>
      <c r="D1408" s="88">
        <v>0</v>
      </c>
      <c r="E1408" s="89"/>
      <c r="F1408" s="89"/>
      <c r="G1408" s="87" t="str">
        <f t="shared" si="21"/>
        <v>218910200'= DIARIAS A PAGAR105000026605341682645</v>
      </c>
      <c r="H1408" s="87" t="str">
        <f>VLOOKUP(Tabela1[[#This Row],[CONCATENAR]],'Classificações - Demonstrações'!$A$5:$C$46003,2,)</f>
        <v>Outras Obrigações</v>
      </c>
      <c r="I1408" s="87"/>
    </row>
    <row r="1409" spans="1:9" ht="12.75" customHeight="1" x14ac:dyDescent="0.2">
      <c r="A1409" s="94" t="s">
        <v>5360</v>
      </c>
      <c r="B1409" s="87" t="s">
        <v>587</v>
      </c>
      <c r="C1409" s="87" t="s">
        <v>6312</v>
      </c>
      <c r="D1409" s="88">
        <v>0</v>
      </c>
      <c r="E1409" s="89"/>
      <c r="F1409" s="89"/>
      <c r="G1409" s="87" t="str">
        <f t="shared" si="21"/>
        <v>218910200'= DIARIAS A PAGAR105000026605346092790</v>
      </c>
      <c r="H1409" s="87" t="str">
        <f>VLOOKUP(Tabela1[[#This Row],[CONCATENAR]],'Classificações - Demonstrações'!$A$5:$C$46003,2,)</f>
        <v>Outras Obrigações</v>
      </c>
      <c r="I1409" s="87"/>
    </row>
    <row r="1410" spans="1:9" ht="12.75" customHeight="1" x14ac:dyDescent="0.2">
      <c r="A1410" s="94" t="s">
        <v>5360</v>
      </c>
      <c r="B1410" s="87" t="s">
        <v>587</v>
      </c>
      <c r="C1410" s="87" t="s">
        <v>4841</v>
      </c>
      <c r="D1410" s="88">
        <v>0</v>
      </c>
      <c r="E1410" s="89"/>
      <c r="F1410" s="89"/>
      <c r="G1410" s="87" t="str">
        <f t="shared" si="21"/>
        <v>218910200'= DIARIAS A PAGAR105000026605492202758</v>
      </c>
      <c r="H1410" s="87" t="str">
        <f>VLOOKUP(Tabela1[[#This Row],[CONCATENAR]],'Classificações - Demonstrações'!$A$5:$C$46003,2,)</f>
        <v>Outras Obrigações</v>
      </c>
      <c r="I1410" s="87"/>
    </row>
    <row r="1411" spans="1:9" ht="12.75" customHeight="1" x14ac:dyDescent="0.2">
      <c r="A1411" s="94" t="s">
        <v>5360</v>
      </c>
      <c r="B1411" s="87" t="s">
        <v>587</v>
      </c>
      <c r="C1411" s="87" t="s">
        <v>4842</v>
      </c>
      <c r="D1411" s="88">
        <v>0</v>
      </c>
      <c r="E1411" s="89"/>
      <c r="F1411" s="89"/>
      <c r="G1411" s="87" t="str">
        <f t="shared" si="21"/>
        <v>218910200'= DIARIAS A PAGAR105000026605519024774</v>
      </c>
      <c r="H1411" s="87" t="str">
        <f>VLOOKUP(Tabela1[[#This Row],[CONCATENAR]],'Classificações - Demonstrações'!$A$5:$C$46003,2,)</f>
        <v>Outras Obrigações</v>
      </c>
      <c r="I1411" s="87"/>
    </row>
    <row r="1412" spans="1:9" ht="12.75" customHeight="1" x14ac:dyDescent="0.2">
      <c r="A1412" s="94" t="s">
        <v>5360</v>
      </c>
      <c r="B1412" s="87" t="s">
        <v>587</v>
      </c>
      <c r="C1412" s="87" t="s">
        <v>6313</v>
      </c>
      <c r="D1412" s="88">
        <v>0</v>
      </c>
      <c r="E1412" s="89"/>
      <c r="F1412" s="89"/>
      <c r="G1412" s="87" t="str">
        <f t="shared" si="21"/>
        <v>218910200'= DIARIAS A PAGAR105000026605542977790</v>
      </c>
      <c r="H1412" s="87" t="str">
        <f>VLOOKUP(Tabela1[[#This Row],[CONCATENAR]],'Classificações - Demonstrações'!$A$5:$C$46003,2,)</f>
        <v>Outras Obrigações</v>
      </c>
      <c r="I1412" s="87"/>
    </row>
    <row r="1413" spans="1:9" ht="12.75" customHeight="1" x14ac:dyDescent="0.2">
      <c r="A1413" s="94" t="s">
        <v>5360</v>
      </c>
      <c r="B1413" s="87" t="s">
        <v>587</v>
      </c>
      <c r="C1413" s="87" t="s">
        <v>6314</v>
      </c>
      <c r="D1413" s="88">
        <v>0</v>
      </c>
      <c r="E1413" s="89"/>
      <c r="F1413" s="89"/>
      <c r="G1413" s="87" t="str">
        <f t="shared" ref="G1413:G1476" si="22">CONCATENATE(A1413,B1413,C1413)</f>
        <v>218910200'= DIARIAS A PAGAR105000026605543697708</v>
      </c>
      <c r="H1413" s="87" t="str">
        <f>VLOOKUP(Tabela1[[#This Row],[CONCATENAR]],'Classificações - Demonstrações'!$A$5:$C$46003,2,)</f>
        <v>Outras Obrigações</v>
      </c>
      <c r="I1413" s="87"/>
    </row>
    <row r="1414" spans="1:9" ht="12.75" customHeight="1" x14ac:dyDescent="0.2">
      <c r="A1414" s="94" t="s">
        <v>5360</v>
      </c>
      <c r="B1414" s="87" t="s">
        <v>587</v>
      </c>
      <c r="C1414" s="87" t="s">
        <v>4843</v>
      </c>
      <c r="D1414" s="88">
        <v>0</v>
      </c>
      <c r="E1414" s="89"/>
      <c r="F1414" s="89"/>
      <c r="G1414" s="87" t="str">
        <f t="shared" si="22"/>
        <v>218910200'= DIARIAS A PAGAR105000026605618288737</v>
      </c>
      <c r="H1414" s="87" t="str">
        <f>VLOOKUP(Tabela1[[#This Row],[CONCATENAR]],'Classificações - Demonstrações'!$A$5:$C$46003,2,)</f>
        <v>Outras Obrigações</v>
      </c>
      <c r="I1414" s="87"/>
    </row>
    <row r="1415" spans="1:9" ht="12.75" customHeight="1" x14ac:dyDescent="0.2">
      <c r="A1415" s="94" t="s">
        <v>5360</v>
      </c>
      <c r="B1415" s="87" t="s">
        <v>587</v>
      </c>
      <c r="C1415" s="87" t="s">
        <v>4674</v>
      </c>
      <c r="D1415" s="89">
        <v>0</v>
      </c>
      <c r="E1415" s="88"/>
      <c r="F1415" s="88"/>
      <c r="G1415" s="87" t="str">
        <f t="shared" si="22"/>
        <v>218910200'= DIARIAS A PAGAR105000026605645709748</v>
      </c>
      <c r="H1415" s="87" t="str">
        <f>VLOOKUP(Tabela1[[#This Row],[CONCATENAR]],'Classificações - Demonstrações'!$A$5:$C$46003,2,)</f>
        <v>Outras Obrigações</v>
      </c>
      <c r="I1415" s="87"/>
    </row>
    <row r="1416" spans="1:9" ht="12.75" customHeight="1" x14ac:dyDescent="0.2">
      <c r="A1416" s="94" t="s">
        <v>5360</v>
      </c>
      <c r="B1416" s="87" t="s">
        <v>587</v>
      </c>
      <c r="C1416" s="87" t="s">
        <v>4844</v>
      </c>
      <c r="D1416" s="88">
        <v>0</v>
      </c>
      <c r="E1416" s="89"/>
      <c r="F1416" s="89"/>
      <c r="G1416" s="87" t="str">
        <f t="shared" si="22"/>
        <v>218910200'= DIARIAS A PAGAR105000026605678774778</v>
      </c>
      <c r="H1416" s="87" t="str">
        <f>VLOOKUP(Tabela1[[#This Row],[CONCATENAR]],'Classificações - Demonstrações'!$A$5:$C$46003,2,)</f>
        <v>Outras Obrigações</v>
      </c>
      <c r="I1416" s="87"/>
    </row>
    <row r="1417" spans="1:9" ht="12.75" customHeight="1" x14ac:dyDescent="0.2">
      <c r="A1417" s="94" t="s">
        <v>5360</v>
      </c>
      <c r="B1417" s="87" t="s">
        <v>587</v>
      </c>
      <c r="C1417" s="87" t="s">
        <v>4845</v>
      </c>
      <c r="D1417" s="88">
        <v>0</v>
      </c>
      <c r="E1417" s="89"/>
      <c r="F1417" s="89"/>
      <c r="G1417" s="87" t="str">
        <f t="shared" si="22"/>
        <v>218910200'= DIARIAS A PAGAR105000026605791053770</v>
      </c>
      <c r="H1417" s="87" t="str">
        <f>VLOOKUP(Tabela1[[#This Row],[CONCATENAR]],'Classificações - Demonstrações'!$A$5:$C$46003,2,)</f>
        <v>Outras Obrigações</v>
      </c>
      <c r="I1417" s="87"/>
    </row>
    <row r="1418" spans="1:9" ht="12.75" customHeight="1" x14ac:dyDescent="0.2">
      <c r="A1418" s="94" t="s">
        <v>5360</v>
      </c>
      <c r="B1418" s="87" t="s">
        <v>587</v>
      </c>
      <c r="C1418" s="87" t="s">
        <v>6315</v>
      </c>
      <c r="D1418" s="88">
        <v>0</v>
      </c>
      <c r="E1418" s="89"/>
      <c r="F1418" s="89"/>
      <c r="G1418" s="87" t="str">
        <f t="shared" si="22"/>
        <v>218910200'= DIARIAS A PAGAR105000026605863108789</v>
      </c>
      <c r="H1418" s="87" t="str">
        <f>VLOOKUP(Tabela1[[#This Row],[CONCATENAR]],'Classificações - Demonstrações'!$A$5:$C$46003,2,)</f>
        <v>Outras Obrigações</v>
      </c>
      <c r="I1418" s="87"/>
    </row>
    <row r="1419" spans="1:9" ht="12.75" customHeight="1" x14ac:dyDescent="0.2">
      <c r="A1419" s="94" t="s">
        <v>5360</v>
      </c>
      <c r="B1419" s="87" t="s">
        <v>587</v>
      </c>
      <c r="C1419" s="87" t="s">
        <v>5819</v>
      </c>
      <c r="D1419" s="88">
        <v>0</v>
      </c>
      <c r="E1419" s="89"/>
      <c r="F1419" s="89"/>
      <c r="G1419" s="87" t="str">
        <f t="shared" si="22"/>
        <v>218910200'= DIARIAS A PAGAR105000026605877414739</v>
      </c>
      <c r="H1419" s="87" t="str">
        <f>VLOOKUP(Tabela1[[#This Row],[CONCATENAR]],'Classificações - Demonstrações'!$A$5:$C$46003,2,)</f>
        <v>Outras Obrigações</v>
      </c>
      <c r="I1419" s="87"/>
    </row>
    <row r="1420" spans="1:9" ht="12.75" customHeight="1" x14ac:dyDescent="0.2">
      <c r="A1420" s="94" t="s">
        <v>5360</v>
      </c>
      <c r="B1420" s="87" t="s">
        <v>587</v>
      </c>
      <c r="C1420" s="87" t="s">
        <v>4846</v>
      </c>
      <c r="D1420" s="88">
        <v>0</v>
      </c>
      <c r="E1420" s="89"/>
      <c r="F1420" s="89"/>
      <c r="G1420" s="87" t="str">
        <f t="shared" si="22"/>
        <v>218910200'= DIARIAS A PAGAR105000026605977083718</v>
      </c>
      <c r="H1420" s="87" t="str">
        <f>VLOOKUP(Tabela1[[#This Row],[CONCATENAR]],'Classificações - Demonstrações'!$A$5:$C$46003,2,)</f>
        <v>Outras Obrigações</v>
      </c>
      <c r="I1420" s="87"/>
    </row>
    <row r="1421" spans="1:9" ht="12.75" customHeight="1" x14ac:dyDescent="0.2">
      <c r="A1421" s="94" t="s">
        <v>5360</v>
      </c>
      <c r="B1421" s="87" t="s">
        <v>587</v>
      </c>
      <c r="C1421" s="87" t="s">
        <v>5683</v>
      </c>
      <c r="D1421" s="88">
        <v>0</v>
      </c>
      <c r="E1421" s="89"/>
      <c r="F1421" s="89"/>
      <c r="G1421" s="87" t="str">
        <f t="shared" si="22"/>
        <v>218910200'= DIARIAS A PAGAR105000026605985523756</v>
      </c>
      <c r="H1421" s="87" t="str">
        <f>VLOOKUP(Tabela1[[#This Row],[CONCATENAR]],'Classificações - Demonstrações'!$A$5:$C$46003,2,)</f>
        <v>Outras Obrigações</v>
      </c>
      <c r="I1421" s="87"/>
    </row>
    <row r="1422" spans="1:9" ht="12.75" customHeight="1" x14ac:dyDescent="0.2">
      <c r="A1422" s="94" t="s">
        <v>5360</v>
      </c>
      <c r="B1422" s="87" t="s">
        <v>587</v>
      </c>
      <c r="C1422" s="87" t="s">
        <v>4847</v>
      </c>
      <c r="D1422" s="88">
        <v>0</v>
      </c>
      <c r="E1422" s="89"/>
      <c r="F1422" s="89"/>
      <c r="G1422" s="87" t="str">
        <f t="shared" si="22"/>
        <v>218910200'= DIARIAS A PAGAR105000026606964465707</v>
      </c>
      <c r="H1422" s="87" t="str">
        <f>VLOOKUP(Tabela1[[#This Row],[CONCATENAR]],'Classificações - Demonstrações'!$A$5:$C$46003,2,)</f>
        <v>Outras Obrigações</v>
      </c>
      <c r="I1422" s="87"/>
    </row>
    <row r="1423" spans="1:9" ht="12.75" customHeight="1" x14ac:dyDescent="0.2">
      <c r="A1423" s="94" t="s">
        <v>5360</v>
      </c>
      <c r="B1423" s="87" t="s">
        <v>587</v>
      </c>
      <c r="C1423" s="87" t="s">
        <v>4848</v>
      </c>
      <c r="D1423" s="88">
        <v>0</v>
      </c>
      <c r="E1423" s="89"/>
      <c r="F1423" s="89"/>
      <c r="G1423" s="87" t="str">
        <f t="shared" si="22"/>
        <v>218910200'= DIARIAS A PAGAR105000026607034952752</v>
      </c>
      <c r="H1423" s="87" t="str">
        <f>VLOOKUP(Tabela1[[#This Row],[CONCATENAR]],'Classificações - Demonstrações'!$A$5:$C$46003,2,)</f>
        <v>Outras Obrigações</v>
      </c>
      <c r="I1423" s="87"/>
    </row>
    <row r="1424" spans="1:9" ht="12.75" customHeight="1" x14ac:dyDescent="0.2">
      <c r="A1424" s="94" t="s">
        <v>5360</v>
      </c>
      <c r="B1424" s="87" t="s">
        <v>587</v>
      </c>
      <c r="C1424" s="87" t="s">
        <v>6316</v>
      </c>
      <c r="D1424" s="88">
        <v>0</v>
      </c>
      <c r="E1424" s="89"/>
      <c r="F1424" s="89"/>
      <c r="G1424" s="87" t="str">
        <f t="shared" si="22"/>
        <v>218910200'= DIARIAS A PAGAR105000026607202216760</v>
      </c>
      <c r="H1424" s="87" t="str">
        <f>VLOOKUP(Tabela1[[#This Row],[CONCATENAR]],'Classificações - Demonstrações'!$A$5:$C$46003,2,)</f>
        <v>Outras Obrigações</v>
      </c>
      <c r="I1424" s="87"/>
    </row>
    <row r="1425" spans="1:9" ht="12.75" customHeight="1" x14ac:dyDescent="0.2">
      <c r="A1425" s="94" t="s">
        <v>5360</v>
      </c>
      <c r="B1425" s="87" t="s">
        <v>587</v>
      </c>
      <c r="C1425" s="87" t="s">
        <v>6317</v>
      </c>
      <c r="D1425" s="88">
        <v>1800</v>
      </c>
      <c r="E1425" s="89"/>
      <c r="F1425" s="89"/>
      <c r="G1425" s="87" t="str">
        <f t="shared" si="22"/>
        <v>218910200'= DIARIAS A PAGAR105000026607247347759</v>
      </c>
      <c r="H1425" s="87" t="str">
        <f>VLOOKUP(Tabela1[[#This Row],[CONCATENAR]],'Classificações - Demonstrações'!$A$5:$C$46003,2,)</f>
        <v>Outras Obrigações</v>
      </c>
      <c r="I1425" s="87"/>
    </row>
    <row r="1426" spans="1:9" ht="12.75" customHeight="1" x14ac:dyDescent="0.2">
      <c r="A1426" s="94" t="s">
        <v>5360</v>
      </c>
      <c r="B1426" s="87" t="s">
        <v>587</v>
      </c>
      <c r="C1426" s="87" t="s">
        <v>4849</v>
      </c>
      <c r="D1426" s="88">
        <v>0</v>
      </c>
      <c r="E1426" s="89"/>
      <c r="F1426" s="89"/>
      <c r="G1426" s="87" t="str">
        <f t="shared" si="22"/>
        <v>218910200'= DIARIAS A PAGAR105000026607349170742</v>
      </c>
      <c r="H1426" s="87" t="str">
        <f>VLOOKUP(Tabela1[[#This Row],[CONCATENAR]],'Classificações - Demonstrações'!$A$5:$C$46003,2,)</f>
        <v>Outras Obrigações</v>
      </c>
      <c r="I1426" s="87"/>
    </row>
    <row r="1427" spans="1:9" ht="12.75" customHeight="1" x14ac:dyDescent="0.2">
      <c r="A1427" s="94" t="s">
        <v>5360</v>
      </c>
      <c r="B1427" s="87" t="s">
        <v>587</v>
      </c>
      <c r="C1427" s="87" t="s">
        <v>4850</v>
      </c>
      <c r="D1427" s="88">
        <v>0</v>
      </c>
      <c r="E1427" s="89"/>
      <c r="F1427" s="89"/>
      <c r="G1427" s="87" t="str">
        <f t="shared" si="22"/>
        <v>218910200'= DIARIAS A PAGAR105000026607450725770</v>
      </c>
      <c r="H1427" s="87" t="str">
        <f>VLOOKUP(Tabela1[[#This Row],[CONCATENAR]],'Classificações - Demonstrações'!$A$5:$C$46003,2,)</f>
        <v>Outras Obrigações</v>
      </c>
      <c r="I1427" s="87"/>
    </row>
    <row r="1428" spans="1:9" ht="12.75" customHeight="1" x14ac:dyDescent="0.2">
      <c r="A1428" s="94" t="s">
        <v>5360</v>
      </c>
      <c r="B1428" s="87" t="s">
        <v>587</v>
      </c>
      <c r="C1428" s="87" t="s">
        <v>4851</v>
      </c>
      <c r="D1428" s="88">
        <v>0</v>
      </c>
      <c r="E1428" s="89"/>
      <c r="F1428" s="89"/>
      <c r="G1428" s="87" t="str">
        <f t="shared" si="22"/>
        <v>218910200'= DIARIAS A PAGAR105000026607454288782</v>
      </c>
      <c r="H1428" s="87" t="str">
        <f>VLOOKUP(Tabela1[[#This Row],[CONCATENAR]],'Classificações - Demonstrações'!$A$5:$C$46003,2,)</f>
        <v>Outras Obrigações</v>
      </c>
      <c r="I1428" s="87"/>
    </row>
    <row r="1429" spans="1:9" ht="12.75" customHeight="1" x14ac:dyDescent="0.2">
      <c r="A1429" s="94" t="s">
        <v>5360</v>
      </c>
      <c r="B1429" s="87" t="s">
        <v>587</v>
      </c>
      <c r="C1429" s="87" t="s">
        <v>6318</v>
      </c>
      <c r="D1429" s="88">
        <v>0</v>
      </c>
      <c r="E1429" s="89"/>
      <c r="F1429" s="89"/>
      <c r="G1429" s="87" t="str">
        <f t="shared" si="22"/>
        <v>218910200'= DIARIAS A PAGAR105000026607506693739</v>
      </c>
      <c r="H1429" s="87" t="str">
        <f>VLOOKUP(Tabela1[[#This Row],[CONCATENAR]],'Classificações - Demonstrações'!$A$5:$C$46003,2,)</f>
        <v>Outras Obrigações</v>
      </c>
      <c r="I1429" s="87"/>
    </row>
    <row r="1430" spans="1:9" ht="12.75" customHeight="1" x14ac:dyDescent="0.2">
      <c r="A1430" s="94" t="s">
        <v>5360</v>
      </c>
      <c r="B1430" s="87" t="s">
        <v>587</v>
      </c>
      <c r="C1430" s="87" t="s">
        <v>5569</v>
      </c>
      <c r="D1430" s="88">
        <v>0</v>
      </c>
      <c r="E1430" s="89"/>
      <c r="F1430" s="89"/>
      <c r="G1430" s="87" t="str">
        <f t="shared" si="22"/>
        <v>218910200'= DIARIAS A PAGAR105000026607552841788</v>
      </c>
      <c r="H1430" s="87" t="str">
        <f>VLOOKUP(Tabela1[[#This Row],[CONCATENAR]],'Classificações - Demonstrações'!$A$5:$C$46003,2,)</f>
        <v>Outras Obrigações</v>
      </c>
      <c r="I1430" s="87"/>
    </row>
    <row r="1431" spans="1:9" ht="12.75" customHeight="1" x14ac:dyDescent="0.2">
      <c r="A1431" s="94" t="s">
        <v>5360</v>
      </c>
      <c r="B1431" s="87" t="s">
        <v>587</v>
      </c>
      <c r="C1431" s="87" t="s">
        <v>4852</v>
      </c>
      <c r="D1431" s="88">
        <v>0</v>
      </c>
      <c r="E1431" s="89"/>
      <c r="F1431" s="89"/>
      <c r="G1431" s="87" t="str">
        <f t="shared" si="22"/>
        <v>218910200'= DIARIAS A PAGAR105000026607568732746</v>
      </c>
      <c r="H1431" s="87" t="str">
        <f>VLOOKUP(Tabela1[[#This Row],[CONCATENAR]],'Classificações - Demonstrações'!$A$5:$C$46003,2,)</f>
        <v>Outras Obrigações</v>
      </c>
      <c r="I1431" s="87"/>
    </row>
    <row r="1432" spans="1:9" ht="12.75" customHeight="1" x14ac:dyDescent="0.2">
      <c r="A1432" s="94" t="s">
        <v>5360</v>
      </c>
      <c r="B1432" s="87" t="s">
        <v>587</v>
      </c>
      <c r="C1432" s="87" t="s">
        <v>5684</v>
      </c>
      <c r="D1432" s="88">
        <v>0</v>
      </c>
      <c r="E1432" s="89"/>
      <c r="F1432" s="89"/>
      <c r="G1432" s="87" t="str">
        <f t="shared" si="22"/>
        <v>218910200'= DIARIAS A PAGAR105000026607598374732</v>
      </c>
      <c r="H1432" s="87" t="str">
        <f>VLOOKUP(Tabela1[[#This Row],[CONCATENAR]],'Classificações - Demonstrações'!$A$5:$C$46003,2,)</f>
        <v>Outras Obrigações</v>
      </c>
      <c r="I1432" s="87"/>
    </row>
    <row r="1433" spans="1:9" ht="12.75" customHeight="1" x14ac:dyDescent="0.2">
      <c r="A1433" s="94" t="s">
        <v>5360</v>
      </c>
      <c r="B1433" s="87" t="s">
        <v>587</v>
      </c>
      <c r="C1433" s="87" t="s">
        <v>4853</v>
      </c>
      <c r="D1433" s="88">
        <v>0</v>
      </c>
      <c r="E1433" s="89"/>
      <c r="F1433" s="89"/>
      <c r="G1433" s="87" t="str">
        <f t="shared" si="22"/>
        <v>218910200'= DIARIAS A PAGAR105000026607712093717</v>
      </c>
      <c r="H1433" s="87" t="str">
        <f>VLOOKUP(Tabela1[[#This Row],[CONCATENAR]],'Classificações - Demonstrações'!$A$5:$C$46003,2,)</f>
        <v>Outras Obrigações</v>
      </c>
      <c r="I1433" s="87"/>
    </row>
    <row r="1434" spans="1:9" ht="12.75" customHeight="1" x14ac:dyDescent="0.2">
      <c r="A1434" s="94" t="s">
        <v>5360</v>
      </c>
      <c r="B1434" s="87" t="s">
        <v>587</v>
      </c>
      <c r="C1434" s="87" t="s">
        <v>4854</v>
      </c>
      <c r="D1434" s="88">
        <v>0</v>
      </c>
      <c r="E1434" s="89"/>
      <c r="F1434" s="89"/>
      <c r="G1434" s="87" t="str">
        <f t="shared" si="22"/>
        <v>218910200'= DIARIAS A PAGAR105000026607808975796</v>
      </c>
      <c r="H1434" s="87" t="str">
        <f>VLOOKUP(Tabela1[[#This Row],[CONCATENAR]],'Classificações - Demonstrações'!$A$5:$C$46003,2,)</f>
        <v>Outras Obrigações</v>
      </c>
      <c r="I1434" s="87"/>
    </row>
    <row r="1435" spans="1:9" ht="12.75" customHeight="1" x14ac:dyDescent="0.2">
      <c r="A1435" s="94" t="s">
        <v>5360</v>
      </c>
      <c r="B1435" s="87" t="s">
        <v>587</v>
      </c>
      <c r="C1435" s="87" t="s">
        <v>4855</v>
      </c>
      <c r="D1435" s="88">
        <v>0</v>
      </c>
      <c r="E1435" s="89"/>
      <c r="F1435" s="89"/>
      <c r="G1435" s="87" t="str">
        <f t="shared" si="22"/>
        <v>218910200'= DIARIAS A PAGAR105000026607844342714</v>
      </c>
      <c r="H1435" s="87" t="str">
        <f>VLOOKUP(Tabela1[[#This Row],[CONCATENAR]],'Classificações - Demonstrações'!$A$5:$C$46003,2,)</f>
        <v>Outras Obrigações</v>
      </c>
      <c r="I1435" s="87"/>
    </row>
    <row r="1436" spans="1:9" ht="12.75" customHeight="1" x14ac:dyDescent="0.2">
      <c r="A1436" s="94" t="s">
        <v>5360</v>
      </c>
      <c r="B1436" s="87" t="s">
        <v>587</v>
      </c>
      <c r="C1436" s="87" t="s">
        <v>4856</v>
      </c>
      <c r="D1436" s="88">
        <v>0</v>
      </c>
      <c r="E1436" s="89"/>
      <c r="F1436" s="89"/>
      <c r="G1436" s="87" t="str">
        <f t="shared" si="22"/>
        <v>218910200'= DIARIAS A PAGAR105000026607876820719</v>
      </c>
      <c r="H1436" s="87" t="str">
        <f>VLOOKUP(Tabela1[[#This Row],[CONCATENAR]],'Classificações - Demonstrações'!$A$5:$C$46003,2,)</f>
        <v>Outras Obrigações</v>
      </c>
      <c r="I1436" s="87"/>
    </row>
    <row r="1437" spans="1:9" ht="12.75" customHeight="1" x14ac:dyDescent="0.2">
      <c r="A1437" s="94" t="s">
        <v>5360</v>
      </c>
      <c r="B1437" s="87" t="s">
        <v>587</v>
      </c>
      <c r="C1437" s="87" t="s">
        <v>4857</v>
      </c>
      <c r="D1437" s="88">
        <v>0</v>
      </c>
      <c r="E1437" s="89"/>
      <c r="F1437" s="89"/>
      <c r="G1437" s="87" t="str">
        <f t="shared" si="22"/>
        <v>218910200'= DIARIAS A PAGAR105000026607887245761</v>
      </c>
      <c r="H1437" s="87" t="str">
        <f>VLOOKUP(Tabela1[[#This Row],[CONCATENAR]],'Classificações - Demonstrações'!$A$5:$C$46003,2,)</f>
        <v>Outras Obrigações</v>
      </c>
      <c r="I1437" s="87"/>
    </row>
    <row r="1438" spans="1:9" ht="12.75" customHeight="1" x14ac:dyDescent="0.2">
      <c r="A1438" s="94" t="s">
        <v>5360</v>
      </c>
      <c r="B1438" s="87" t="s">
        <v>587</v>
      </c>
      <c r="C1438" s="87" t="s">
        <v>6319</v>
      </c>
      <c r="D1438" s="88">
        <v>0</v>
      </c>
      <c r="E1438" s="89"/>
      <c r="F1438" s="89"/>
      <c r="G1438" s="87" t="str">
        <f t="shared" si="22"/>
        <v>218910200'= DIARIAS A PAGAR105000026608021211601</v>
      </c>
      <c r="H1438" s="87" t="str">
        <f>VLOOKUP(Tabela1[[#This Row],[CONCATENAR]],'Classificações - Demonstrações'!$A$5:$C$46003,2,)</f>
        <v>Outras Obrigações</v>
      </c>
      <c r="I1438" s="87"/>
    </row>
    <row r="1439" spans="1:9" ht="12.75" customHeight="1" x14ac:dyDescent="0.2">
      <c r="A1439" s="94" t="s">
        <v>5360</v>
      </c>
      <c r="B1439" s="87" t="s">
        <v>587</v>
      </c>
      <c r="C1439" s="87" t="s">
        <v>4858</v>
      </c>
      <c r="D1439" s="88">
        <v>0</v>
      </c>
      <c r="E1439" s="89"/>
      <c r="F1439" s="89"/>
      <c r="G1439" s="87" t="str">
        <f t="shared" si="22"/>
        <v>218910200'= DIARIAS A PAGAR105000026608034666769</v>
      </c>
      <c r="H1439" s="87" t="str">
        <f>VLOOKUP(Tabela1[[#This Row],[CONCATENAR]],'Classificações - Demonstrações'!$A$5:$C$46003,2,)</f>
        <v>Outras Obrigações</v>
      </c>
      <c r="I1439" s="87"/>
    </row>
    <row r="1440" spans="1:9" ht="12.75" customHeight="1" x14ac:dyDescent="0.2">
      <c r="A1440" s="94" t="s">
        <v>5360</v>
      </c>
      <c r="B1440" s="87" t="s">
        <v>587</v>
      </c>
      <c r="C1440" s="87" t="s">
        <v>6320</v>
      </c>
      <c r="D1440" s="88">
        <v>0</v>
      </c>
      <c r="E1440" s="89"/>
      <c r="F1440" s="89"/>
      <c r="G1440" s="87" t="str">
        <f t="shared" si="22"/>
        <v>218910200'= DIARIAS A PAGAR105000026608320243769</v>
      </c>
      <c r="H1440" s="87" t="str">
        <f>VLOOKUP(Tabela1[[#This Row],[CONCATENAR]],'Classificações - Demonstrações'!$A$5:$C$46003,2,)</f>
        <v>Outras Obrigações</v>
      </c>
      <c r="I1440" s="87"/>
    </row>
    <row r="1441" spans="1:9" ht="12.75" customHeight="1" x14ac:dyDescent="0.2">
      <c r="A1441" s="94" t="s">
        <v>5360</v>
      </c>
      <c r="B1441" s="87" t="s">
        <v>587</v>
      </c>
      <c r="C1441" s="87" t="s">
        <v>4859</v>
      </c>
      <c r="D1441" s="88">
        <v>0</v>
      </c>
      <c r="E1441" s="89"/>
      <c r="F1441" s="89"/>
      <c r="G1441" s="87" t="str">
        <f t="shared" si="22"/>
        <v>218910200'= DIARIAS A PAGAR105000026608389037700</v>
      </c>
      <c r="H1441" s="87" t="str">
        <f>VLOOKUP(Tabela1[[#This Row],[CONCATENAR]],'Classificações - Demonstrações'!$A$5:$C$46003,2,)</f>
        <v>Outras Obrigações</v>
      </c>
      <c r="I1441" s="87"/>
    </row>
    <row r="1442" spans="1:9" ht="12.75" customHeight="1" x14ac:dyDescent="0.2">
      <c r="A1442" s="94" t="s">
        <v>5360</v>
      </c>
      <c r="B1442" s="87" t="s">
        <v>587</v>
      </c>
      <c r="C1442" s="87" t="s">
        <v>4675</v>
      </c>
      <c r="D1442" s="88">
        <v>0</v>
      </c>
      <c r="E1442" s="89"/>
      <c r="F1442" s="89"/>
      <c r="G1442" s="87" t="str">
        <f t="shared" si="22"/>
        <v>218910200'= DIARIAS A PAGAR105000026608403534728</v>
      </c>
      <c r="H1442" s="87" t="str">
        <f>VLOOKUP(Tabela1[[#This Row],[CONCATENAR]],'Classificações - Demonstrações'!$A$5:$C$46003,2,)</f>
        <v>Outras Obrigações</v>
      </c>
      <c r="I1442" s="87"/>
    </row>
    <row r="1443" spans="1:9" ht="12.75" customHeight="1" x14ac:dyDescent="0.2">
      <c r="A1443" s="94" t="s">
        <v>5360</v>
      </c>
      <c r="B1443" s="87" t="s">
        <v>587</v>
      </c>
      <c r="C1443" s="87" t="s">
        <v>6321</v>
      </c>
      <c r="D1443" s="88">
        <v>0</v>
      </c>
      <c r="E1443" s="89"/>
      <c r="F1443" s="89"/>
      <c r="G1443" s="87" t="str">
        <f t="shared" si="22"/>
        <v>218910200'= DIARIAS A PAGAR105000026608441748748</v>
      </c>
      <c r="H1443" s="87" t="str">
        <f>VLOOKUP(Tabela1[[#This Row],[CONCATENAR]],'Classificações - Demonstrações'!$A$5:$C$46003,2,)</f>
        <v>Outras Obrigações</v>
      </c>
      <c r="I1443" s="87"/>
    </row>
    <row r="1444" spans="1:9" ht="12.75" customHeight="1" x14ac:dyDescent="0.2">
      <c r="A1444" s="94" t="s">
        <v>5360</v>
      </c>
      <c r="B1444" s="87" t="s">
        <v>587</v>
      </c>
      <c r="C1444" s="87" t="s">
        <v>4860</v>
      </c>
      <c r="D1444" s="88">
        <v>0</v>
      </c>
      <c r="E1444" s="89"/>
      <c r="F1444" s="89"/>
      <c r="G1444" s="87" t="str">
        <f t="shared" si="22"/>
        <v>218910200'= DIARIAS A PAGAR105000026608471275759</v>
      </c>
      <c r="H1444" s="87" t="str">
        <f>VLOOKUP(Tabela1[[#This Row],[CONCATENAR]],'Classificações - Demonstrações'!$A$5:$C$46003,2,)</f>
        <v>Outras Obrigações</v>
      </c>
      <c r="I1444" s="87"/>
    </row>
    <row r="1445" spans="1:9" ht="12.75" customHeight="1" x14ac:dyDescent="0.2">
      <c r="A1445" s="94" t="s">
        <v>5360</v>
      </c>
      <c r="B1445" s="87" t="s">
        <v>587</v>
      </c>
      <c r="C1445" s="87" t="s">
        <v>4861</v>
      </c>
      <c r="D1445" s="88">
        <v>0</v>
      </c>
      <c r="E1445" s="89"/>
      <c r="F1445" s="89"/>
      <c r="G1445" s="87" t="str">
        <f t="shared" si="22"/>
        <v>218910200'= DIARIAS A PAGAR105000026608502159780</v>
      </c>
      <c r="H1445" s="87" t="str">
        <f>VLOOKUP(Tabela1[[#This Row],[CONCATENAR]],'Classificações - Demonstrações'!$A$5:$C$46003,2,)</f>
        <v>Outras Obrigações</v>
      </c>
      <c r="I1445" s="87"/>
    </row>
    <row r="1446" spans="1:9" ht="12.75" customHeight="1" x14ac:dyDescent="0.2">
      <c r="A1446" s="94" t="s">
        <v>5360</v>
      </c>
      <c r="B1446" s="87" t="s">
        <v>587</v>
      </c>
      <c r="C1446" s="87" t="s">
        <v>4862</v>
      </c>
      <c r="D1446" s="88">
        <v>0</v>
      </c>
      <c r="E1446" s="89"/>
      <c r="F1446" s="89"/>
      <c r="G1446" s="87" t="str">
        <f t="shared" si="22"/>
        <v>218910200'= DIARIAS A PAGAR105000026608687718721</v>
      </c>
      <c r="H1446" s="87" t="str">
        <f>VLOOKUP(Tabela1[[#This Row],[CONCATENAR]],'Classificações - Demonstrações'!$A$5:$C$46003,2,)</f>
        <v>Outras Obrigações</v>
      </c>
      <c r="I1446" s="87"/>
    </row>
    <row r="1447" spans="1:9" ht="12.75" customHeight="1" x14ac:dyDescent="0.2">
      <c r="A1447" s="94" t="s">
        <v>5360</v>
      </c>
      <c r="B1447" s="87" t="s">
        <v>587</v>
      </c>
      <c r="C1447" s="87" t="s">
        <v>4863</v>
      </c>
      <c r="D1447" s="88">
        <v>0</v>
      </c>
      <c r="E1447" s="89"/>
      <c r="F1447" s="89"/>
      <c r="G1447" s="87" t="str">
        <f t="shared" si="22"/>
        <v>218910200'= DIARIAS A PAGAR105000026609083315762</v>
      </c>
      <c r="H1447" s="87" t="str">
        <f>VLOOKUP(Tabela1[[#This Row],[CONCATENAR]],'Classificações - Demonstrações'!$A$5:$C$46003,2,)</f>
        <v>Outras Obrigações</v>
      </c>
      <c r="I1447" s="87"/>
    </row>
    <row r="1448" spans="1:9" ht="12.75" customHeight="1" x14ac:dyDescent="0.2">
      <c r="A1448" s="94" t="s">
        <v>5360</v>
      </c>
      <c r="B1448" s="87" t="s">
        <v>587</v>
      </c>
      <c r="C1448" s="87" t="s">
        <v>4864</v>
      </c>
      <c r="D1448" s="88">
        <v>670</v>
      </c>
      <c r="E1448" s="89"/>
      <c r="F1448" s="89"/>
      <c r="G1448" s="87" t="str">
        <f t="shared" si="22"/>
        <v>218910200'= DIARIAS A PAGAR105000026609175552795</v>
      </c>
      <c r="H1448" s="87" t="str">
        <f>VLOOKUP(Tabela1[[#This Row],[CONCATENAR]],'Classificações - Demonstrações'!$A$5:$C$46003,2,)</f>
        <v>Outras Obrigações</v>
      </c>
      <c r="I1448" s="87"/>
    </row>
    <row r="1449" spans="1:9" ht="12.75" customHeight="1" x14ac:dyDescent="0.2">
      <c r="A1449" s="94" t="s">
        <v>5360</v>
      </c>
      <c r="B1449" s="87" t="s">
        <v>587</v>
      </c>
      <c r="C1449" s="87" t="s">
        <v>4865</v>
      </c>
      <c r="D1449" s="88">
        <v>0</v>
      </c>
      <c r="E1449" s="89"/>
      <c r="F1449" s="89"/>
      <c r="G1449" s="87" t="str">
        <f t="shared" si="22"/>
        <v>218910200'= DIARIAS A PAGAR105000026609233861732</v>
      </c>
      <c r="H1449" s="87" t="str">
        <f>VLOOKUP(Tabela1[[#This Row],[CONCATENAR]],'Classificações - Demonstrações'!$A$5:$C$46003,2,)</f>
        <v>Outras Obrigações</v>
      </c>
      <c r="I1449" s="87"/>
    </row>
    <row r="1450" spans="1:9" ht="12.75" customHeight="1" x14ac:dyDescent="0.2">
      <c r="A1450" s="94" t="s">
        <v>5360</v>
      </c>
      <c r="B1450" s="87" t="s">
        <v>587</v>
      </c>
      <c r="C1450" s="87" t="s">
        <v>6322</v>
      </c>
      <c r="D1450" s="88">
        <v>0</v>
      </c>
      <c r="E1450" s="89"/>
      <c r="F1450" s="89"/>
      <c r="G1450" s="87" t="str">
        <f t="shared" si="22"/>
        <v>218910200'= DIARIAS A PAGAR105000026609331299710</v>
      </c>
      <c r="H1450" s="87" t="str">
        <f>VLOOKUP(Tabela1[[#This Row],[CONCATENAR]],'Classificações - Demonstrações'!$A$5:$C$46003,2,)</f>
        <v>Outras Obrigações</v>
      </c>
      <c r="I1450" s="87"/>
    </row>
    <row r="1451" spans="1:9" ht="12.75" customHeight="1" x14ac:dyDescent="0.2">
      <c r="A1451" s="94" t="s">
        <v>5360</v>
      </c>
      <c r="B1451" s="87" t="s">
        <v>587</v>
      </c>
      <c r="C1451" s="87" t="s">
        <v>6323</v>
      </c>
      <c r="D1451" s="88">
        <v>0</v>
      </c>
      <c r="E1451" s="89"/>
      <c r="F1451" s="89"/>
      <c r="G1451" s="87" t="str">
        <f t="shared" si="22"/>
        <v>218910200'= DIARIAS A PAGAR105000026609398725797</v>
      </c>
      <c r="H1451" s="87" t="str">
        <f>VLOOKUP(Tabela1[[#This Row],[CONCATENAR]],'Classificações - Demonstrações'!$A$5:$C$46003,2,)</f>
        <v>Outras Obrigações</v>
      </c>
      <c r="I1451" s="87"/>
    </row>
    <row r="1452" spans="1:9" ht="12.75" customHeight="1" x14ac:dyDescent="0.2">
      <c r="A1452" s="94" t="s">
        <v>5360</v>
      </c>
      <c r="B1452" s="87" t="s">
        <v>587</v>
      </c>
      <c r="C1452" s="87" t="s">
        <v>4866</v>
      </c>
      <c r="D1452" s="88">
        <v>0</v>
      </c>
      <c r="E1452" s="89"/>
      <c r="F1452" s="89"/>
      <c r="G1452" s="87" t="str">
        <f t="shared" si="22"/>
        <v>218910200'= DIARIAS A PAGAR105000026609409138795</v>
      </c>
      <c r="H1452" s="87" t="str">
        <f>VLOOKUP(Tabela1[[#This Row],[CONCATENAR]],'Classificações - Demonstrações'!$A$5:$C$46003,2,)</f>
        <v>Outras Obrigações</v>
      </c>
      <c r="I1452" s="87"/>
    </row>
    <row r="1453" spans="1:9" ht="12.75" customHeight="1" x14ac:dyDescent="0.2">
      <c r="A1453" s="94" t="s">
        <v>5360</v>
      </c>
      <c r="B1453" s="87" t="s">
        <v>587</v>
      </c>
      <c r="C1453" s="87" t="s">
        <v>4676</v>
      </c>
      <c r="D1453" s="88">
        <v>0</v>
      </c>
      <c r="E1453" s="89"/>
      <c r="F1453" s="89"/>
      <c r="G1453" s="87" t="str">
        <f t="shared" si="22"/>
        <v>218910200'= DIARIAS A PAGAR105000026609537610705</v>
      </c>
      <c r="H1453" s="87" t="str">
        <f>VLOOKUP(Tabela1[[#This Row],[CONCATENAR]],'Classificações - Demonstrações'!$A$5:$C$46003,2,)</f>
        <v>Outras Obrigações</v>
      </c>
      <c r="I1453" s="87"/>
    </row>
    <row r="1454" spans="1:9" ht="12.75" customHeight="1" x14ac:dyDescent="0.2">
      <c r="A1454" s="94" t="s">
        <v>5360</v>
      </c>
      <c r="B1454" s="87" t="s">
        <v>587</v>
      </c>
      <c r="C1454" s="87" t="s">
        <v>6324</v>
      </c>
      <c r="D1454" s="88">
        <v>0</v>
      </c>
      <c r="E1454" s="89"/>
      <c r="F1454" s="89"/>
      <c r="G1454" s="87" t="str">
        <f t="shared" si="22"/>
        <v>218910200'= DIARIAS A PAGAR105000026609577155790</v>
      </c>
      <c r="H1454" s="87" t="str">
        <f>VLOOKUP(Tabela1[[#This Row],[CONCATENAR]],'Classificações - Demonstrações'!$A$5:$C$46003,2,)</f>
        <v>Outras Obrigações</v>
      </c>
      <c r="I1454" s="87"/>
    </row>
    <row r="1455" spans="1:9" ht="12.75" customHeight="1" x14ac:dyDescent="0.2">
      <c r="A1455" s="94" t="s">
        <v>5360</v>
      </c>
      <c r="B1455" s="87" t="s">
        <v>587</v>
      </c>
      <c r="C1455" s="87" t="s">
        <v>4867</v>
      </c>
      <c r="D1455" s="89">
        <v>0</v>
      </c>
      <c r="E1455" s="89"/>
      <c r="F1455" s="89"/>
      <c r="G1455" s="87" t="str">
        <f t="shared" si="22"/>
        <v>218910200'= DIARIAS A PAGAR105000026609621077788</v>
      </c>
      <c r="H1455" s="87" t="str">
        <f>VLOOKUP(Tabela1[[#This Row],[CONCATENAR]],'Classificações - Demonstrações'!$A$5:$C$46003,2,)</f>
        <v>Outras Obrigações</v>
      </c>
      <c r="I1455" s="87"/>
    </row>
    <row r="1456" spans="1:9" ht="12.75" customHeight="1" x14ac:dyDescent="0.2">
      <c r="A1456" s="94" t="s">
        <v>5360</v>
      </c>
      <c r="B1456" s="87" t="s">
        <v>587</v>
      </c>
      <c r="C1456" s="87" t="s">
        <v>4868</v>
      </c>
      <c r="D1456" s="88">
        <v>0</v>
      </c>
      <c r="E1456" s="89"/>
      <c r="F1456" s="89"/>
      <c r="G1456" s="87" t="str">
        <f t="shared" si="22"/>
        <v>218910200'= DIARIAS A PAGAR105000026609625244760</v>
      </c>
      <c r="H1456" s="87" t="str">
        <f>VLOOKUP(Tabela1[[#This Row],[CONCATENAR]],'Classificações - Demonstrações'!$A$5:$C$46003,2,)</f>
        <v>Outras Obrigações</v>
      </c>
      <c r="I1456" s="87"/>
    </row>
    <row r="1457" spans="1:9" ht="12.75" customHeight="1" x14ac:dyDescent="0.2">
      <c r="A1457" s="94" t="s">
        <v>5360</v>
      </c>
      <c r="B1457" s="87" t="s">
        <v>587</v>
      </c>
      <c r="C1457" s="87" t="s">
        <v>4869</v>
      </c>
      <c r="D1457" s="88">
        <v>0</v>
      </c>
      <c r="E1457" s="89"/>
      <c r="F1457" s="89"/>
      <c r="G1457" s="87" t="str">
        <f t="shared" si="22"/>
        <v>218910200'= DIARIAS A PAGAR105000026609715087710</v>
      </c>
      <c r="H1457" s="87" t="str">
        <f>VLOOKUP(Tabela1[[#This Row],[CONCATENAR]],'Classificações - Demonstrações'!$A$5:$C$46003,2,)</f>
        <v>Outras Obrigações</v>
      </c>
      <c r="I1457" s="87"/>
    </row>
    <row r="1458" spans="1:9" ht="12.75" customHeight="1" x14ac:dyDescent="0.2">
      <c r="A1458" s="94" t="s">
        <v>5360</v>
      </c>
      <c r="B1458" s="87" t="s">
        <v>587</v>
      </c>
      <c r="C1458" s="87" t="s">
        <v>4870</v>
      </c>
      <c r="D1458" s="88">
        <v>0</v>
      </c>
      <c r="E1458" s="89"/>
      <c r="F1458" s="89"/>
      <c r="G1458" s="87" t="str">
        <f t="shared" si="22"/>
        <v>218910200'= DIARIAS A PAGAR105000026609788118798</v>
      </c>
      <c r="H1458" s="87" t="str">
        <f>VLOOKUP(Tabela1[[#This Row],[CONCATENAR]],'Classificações - Demonstrações'!$A$5:$C$46003,2,)</f>
        <v>Outras Obrigações</v>
      </c>
      <c r="I1458" s="87"/>
    </row>
    <row r="1459" spans="1:9" ht="12.75" customHeight="1" x14ac:dyDescent="0.2">
      <c r="A1459" s="94" t="s">
        <v>5360</v>
      </c>
      <c r="B1459" s="87" t="s">
        <v>587</v>
      </c>
      <c r="C1459" s="87" t="s">
        <v>4871</v>
      </c>
      <c r="D1459" s="88">
        <v>0</v>
      </c>
      <c r="E1459" s="89"/>
      <c r="F1459" s="89"/>
      <c r="G1459" s="87" t="str">
        <f t="shared" si="22"/>
        <v>218910200'= DIARIAS A PAGAR105000026609860243760</v>
      </c>
      <c r="H1459" s="87" t="str">
        <f>VLOOKUP(Tabela1[[#This Row],[CONCATENAR]],'Classificações - Demonstrações'!$A$5:$C$46003,2,)</f>
        <v>Outras Obrigações</v>
      </c>
      <c r="I1459" s="87"/>
    </row>
    <row r="1460" spans="1:9" ht="12.75" customHeight="1" x14ac:dyDescent="0.2">
      <c r="A1460" s="94" t="s">
        <v>5360</v>
      </c>
      <c r="B1460" s="87" t="s">
        <v>587</v>
      </c>
      <c r="C1460" s="87" t="s">
        <v>6325</v>
      </c>
      <c r="D1460" s="88">
        <v>0</v>
      </c>
      <c r="E1460" s="89"/>
      <c r="F1460" s="89"/>
      <c r="G1460" s="87" t="str">
        <f t="shared" si="22"/>
        <v>218910200'= DIARIAS A PAGAR105000026609879898710</v>
      </c>
      <c r="H1460" s="87" t="str">
        <f>VLOOKUP(Tabela1[[#This Row],[CONCATENAR]],'Classificações - Demonstrações'!$A$5:$C$46003,2,)</f>
        <v>Outras Obrigações</v>
      </c>
      <c r="I1460" s="87"/>
    </row>
    <row r="1461" spans="1:9" ht="12.75" customHeight="1" x14ac:dyDescent="0.2">
      <c r="A1461" s="94" t="s">
        <v>5360</v>
      </c>
      <c r="B1461" s="87" t="s">
        <v>587</v>
      </c>
      <c r="C1461" s="87" t="s">
        <v>4677</v>
      </c>
      <c r="D1461" s="88">
        <v>0</v>
      </c>
      <c r="E1461" s="89"/>
      <c r="F1461" s="89"/>
      <c r="G1461" s="87" t="str">
        <f t="shared" si="22"/>
        <v>218910200'= DIARIAS A PAGAR105000026610029617774</v>
      </c>
      <c r="H1461" s="87" t="str">
        <f>VLOOKUP(Tabela1[[#This Row],[CONCATENAR]],'Classificações - Demonstrações'!$A$5:$C$46003,2,)</f>
        <v>Outras Obrigações</v>
      </c>
      <c r="I1461" s="87"/>
    </row>
    <row r="1462" spans="1:9" ht="12.75" customHeight="1" x14ac:dyDescent="0.2">
      <c r="A1462" s="94" t="s">
        <v>5360</v>
      </c>
      <c r="B1462" s="87" t="s">
        <v>587</v>
      </c>
      <c r="C1462" s="87" t="s">
        <v>4872</v>
      </c>
      <c r="D1462" s="88">
        <v>0</v>
      </c>
      <c r="E1462" s="89"/>
      <c r="F1462" s="89"/>
      <c r="G1462" s="87" t="str">
        <f t="shared" si="22"/>
        <v>218910200'= DIARIAS A PAGAR105000026610037056778</v>
      </c>
      <c r="H1462" s="87" t="str">
        <f>VLOOKUP(Tabela1[[#This Row],[CONCATENAR]],'Classificações - Demonstrações'!$A$5:$C$46003,2,)</f>
        <v>Outras Obrigações</v>
      </c>
      <c r="I1462" s="87"/>
    </row>
    <row r="1463" spans="1:9" ht="12.75" customHeight="1" x14ac:dyDescent="0.2">
      <c r="A1463" s="94" t="s">
        <v>5360</v>
      </c>
      <c r="B1463" s="87" t="s">
        <v>587</v>
      </c>
      <c r="C1463" s="87" t="s">
        <v>4873</v>
      </c>
      <c r="D1463" s="88">
        <v>0</v>
      </c>
      <c r="E1463" s="89"/>
      <c r="F1463" s="89"/>
      <c r="G1463" s="87" t="str">
        <f t="shared" si="22"/>
        <v>218910200'= DIARIAS A PAGAR105000026610104989750</v>
      </c>
      <c r="H1463" s="87" t="str">
        <f>VLOOKUP(Tabela1[[#This Row],[CONCATENAR]],'Classificações - Demonstrações'!$A$5:$C$46003,2,)</f>
        <v>Outras Obrigações</v>
      </c>
      <c r="I1463" s="87"/>
    </row>
    <row r="1464" spans="1:9" ht="12.75" customHeight="1" x14ac:dyDescent="0.2">
      <c r="A1464" s="94" t="s">
        <v>5360</v>
      </c>
      <c r="B1464" s="87" t="s">
        <v>587</v>
      </c>
      <c r="C1464" s="87" t="s">
        <v>6326</v>
      </c>
      <c r="D1464" s="89">
        <v>0</v>
      </c>
      <c r="E1464" s="88"/>
      <c r="F1464" s="88"/>
      <c r="G1464" s="87" t="str">
        <f t="shared" si="22"/>
        <v>218910200'= DIARIAS A PAGAR105000026610486031721</v>
      </c>
      <c r="H1464" s="87" t="str">
        <f>VLOOKUP(Tabela1[[#This Row],[CONCATENAR]],'Classificações - Demonstrações'!$A$5:$C$46003,2,)</f>
        <v>Outras Obrigações</v>
      </c>
      <c r="I1464" s="87"/>
    </row>
    <row r="1465" spans="1:9" ht="12.75" customHeight="1" x14ac:dyDescent="0.2">
      <c r="A1465" s="94" t="s">
        <v>5360</v>
      </c>
      <c r="B1465" s="87" t="s">
        <v>587</v>
      </c>
      <c r="C1465" s="87" t="s">
        <v>4678</v>
      </c>
      <c r="D1465" s="89">
        <v>0</v>
      </c>
      <c r="E1465" s="88"/>
      <c r="F1465" s="88"/>
      <c r="G1465" s="87" t="str">
        <f t="shared" si="22"/>
        <v>218910200'= DIARIAS A PAGAR105000026610505533731</v>
      </c>
      <c r="H1465" s="87" t="str">
        <f>VLOOKUP(Tabela1[[#This Row],[CONCATENAR]],'Classificações - Demonstrações'!$A$5:$C$46003,2,)</f>
        <v>Outras Obrigações</v>
      </c>
      <c r="I1465" s="87"/>
    </row>
    <row r="1466" spans="1:9" ht="12.75" customHeight="1" x14ac:dyDescent="0.2">
      <c r="A1466" s="94" t="s">
        <v>5360</v>
      </c>
      <c r="B1466" s="87" t="s">
        <v>587</v>
      </c>
      <c r="C1466" s="87" t="s">
        <v>6327</v>
      </c>
      <c r="D1466" s="89">
        <v>0</v>
      </c>
      <c r="E1466" s="88"/>
      <c r="F1466" s="88"/>
      <c r="G1466" s="87" t="str">
        <f t="shared" si="22"/>
        <v>218910200'= DIARIAS A PAGAR105000026610601806778</v>
      </c>
      <c r="H1466" s="87" t="str">
        <f>VLOOKUP(Tabela1[[#This Row],[CONCATENAR]],'Classificações - Demonstrações'!$A$5:$C$46003,2,)</f>
        <v>Outras Obrigações</v>
      </c>
      <c r="I1466" s="87"/>
    </row>
    <row r="1467" spans="1:9" ht="12.75" customHeight="1" x14ac:dyDescent="0.2">
      <c r="A1467" s="94" t="s">
        <v>5360</v>
      </c>
      <c r="B1467" s="87" t="s">
        <v>587</v>
      </c>
      <c r="C1467" s="87" t="s">
        <v>6328</v>
      </c>
      <c r="D1467" s="89">
        <v>0</v>
      </c>
      <c r="E1467" s="88"/>
      <c r="F1467" s="88"/>
      <c r="G1467" s="87" t="str">
        <f t="shared" si="22"/>
        <v>218910200'= DIARIAS A PAGAR105000026610613752775</v>
      </c>
      <c r="H1467" s="87" t="str">
        <f>VLOOKUP(Tabela1[[#This Row],[CONCATENAR]],'Classificações - Demonstrações'!$A$5:$C$46003,2,)</f>
        <v>Outras Obrigações</v>
      </c>
      <c r="I1467" s="87"/>
    </row>
    <row r="1468" spans="1:9" ht="12.75" customHeight="1" x14ac:dyDescent="0.2">
      <c r="A1468" s="94" t="s">
        <v>5360</v>
      </c>
      <c r="B1468" s="87" t="s">
        <v>587</v>
      </c>
      <c r="C1468" s="87" t="s">
        <v>4874</v>
      </c>
      <c r="D1468" s="89">
        <v>0</v>
      </c>
      <c r="E1468" s="88"/>
      <c r="F1468" s="88"/>
      <c r="G1468" s="87" t="str">
        <f t="shared" si="22"/>
        <v>218910200'= DIARIAS A PAGAR105000026610678049785</v>
      </c>
      <c r="H1468" s="87" t="str">
        <f>VLOOKUP(Tabela1[[#This Row],[CONCATENAR]],'Classificações - Demonstrações'!$A$5:$C$46003,2,)</f>
        <v>Outras Obrigações</v>
      </c>
      <c r="I1468" s="87"/>
    </row>
    <row r="1469" spans="1:9" ht="12.75" customHeight="1" x14ac:dyDescent="0.2">
      <c r="A1469" s="94" t="s">
        <v>5360</v>
      </c>
      <c r="B1469" s="87" t="s">
        <v>587</v>
      </c>
      <c r="C1469" s="87" t="s">
        <v>4875</v>
      </c>
      <c r="D1469" s="89">
        <v>0</v>
      </c>
      <c r="E1469" s="88"/>
      <c r="F1469" s="88"/>
      <c r="G1469" s="87" t="str">
        <f t="shared" si="22"/>
        <v>218910200'= DIARIAS A PAGAR105000026610748275703</v>
      </c>
      <c r="H1469" s="87" t="str">
        <f>VLOOKUP(Tabela1[[#This Row],[CONCATENAR]],'Classificações - Demonstrações'!$A$5:$C$46003,2,)</f>
        <v>Outras Obrigações</v>
      </c>
      <c r="I1469" s="87"/>
    </row>
    <row r="1470" spans="1:9" ht="12.75" customHeight="1" x14ac:dyDescent="0.2">
      <c r="A1470" s="94" t="s">
        <v>5360</v>
      </c>
      <c r="B1470" s="87" t="s">
        <v>587</v>
      </c>
      <c r="C1470" s="87" t="s">
        <v>6329</v>
      </c>
      <c r="D1470" s="89">
        <v>0</v>
      </c>
      <c r="E1470" s="88"/>
      <c r="F1470" s="88"/>
      <c r="G1470" s="87" t="str">
        <f t="shared" si="22"/>
        <v>218910200'= DIARIAS A PAGAR105000026610761818723</v>
      </c>
      <c r="H1470" s="87" t="str">
        <f>VLOOKUP(Tabela1[[#This Row],[CONCATENAR]],'Classificações - Demonstrações'!$A$5:$C$46003,2,)</f>
        <v>Outras Obrigações</v>
      </c>
      <c r="I1470" s="87"/>
    </row>
    <row r="1471" spans="1:9" ht="12.75" customHeight="1" x14ac:dyDescent="0.2">
      <c r="A1471" s="94" t="s">
        <v>5360</v>
      </c>
      <c r="B1471" s="87" t="s">
        <v>587</v>
      </c>
      <c r="C1471" s="87" t="s">
        <v>6330</v>
      </c>
      <c r="D1471" s="89">
        <v>0</v>
      </c>
      <c r="E1471" s="88"/>
      <c r="F1471" s="88"/>
      <c r="G1471" s="87" t="str">
        <f t="shared" si="22"/>
        <v>218910200'= DIARIAS A PAGAR105000026610946153744</v>
      </c>
      <c r="H1471" s="87" t="str">
        <f>VLOOKUP(Tabela1[[#This Row],[CONCATENAR]],'Classificações - Demonstrações'!$A$5:$C$46003,2,)</f>
        <v>Outras Obrigações</v>
      </c>
      <c r="I1471" s="87"/>
    </row>
    <row r="1472" spans="1:9" ht="12.75" customHeight="1" x14ac:dyDescent="0.2">
      <c r="A1472" s="94" t="s">
        <v>5360</v>
      </c>
      <c r="B1472" s="87" t="s">
        <v>587</v>
      </c>
      <c r="C1472" s="87" t="s">
        <v>4876</v>
      </c>
      <c r="D1472" s="89">
        <v>0</v>
      </c>
      <c r="E1472" s="88"/>
      <c r="F1472" s="88"/>
      <c r="G1472" s="87" t="str">
        <f t="shared" si="22"/>
        <v>218910200'= DIARIAS A PAGAR105000026610980620783</v>
      </c>
      <c r="H1472" s="87" t="str">
        <f>VLOOKUP(Tabela1[[#This Row],[CONCATENAR]],'Classificações - Demonstrações'!$A$5:$C$46003,2,)</f>
        <v>Outras Obrigações</v>
      </c>
      <c r="I1472" s="87"/>
    </row>
    <row r="1473" spans="1:9" ht="12.75" customHeight="1" x14ac:dyDescent="0.2">
      <c r="A1473" s="94" t="s">
        <v>5360</v>
      </c>
      <c r="B1473" s="87" t="s">
        <v>587</v>
      </c>
      <c r="C1473" s="87" t="s">
        <v>6331</v>
      </c>
      <c r="D1473" s="89">
        <v>0</v>
      </c>
      <c r="E1473" s="88"/>
      <c r="F1473" s="88"/>
      <c r="G1473" s="87" t="str">
        <f t="shared" si="22"/>
        <v>218910200'= DIARIAS A PAGAR105000026610986762709</v>
      </c>
      <c r="H1473" s="87" t="str">
        <f>VLOOKUP(Tabela1[[#This Row],[CONCATENAR]],'Classificações - Demonstrações'!$A$5:$C$46003,2,)</f>
        <v>Outras Obrigações</v>
      </c>
      <c r="I1473" s="87"/>
    </row>
    <row r="1474" spans="1:9" ht="12.75" customHeight="1" x14ac:dyDescent="0.2">
      <c r="A1474" s="94" t="s">
        <v>5360</v>
      </c>
      <c r="B1474" s="87" t="s">
        <v>587</v>
      </c>
      <c r="C1474" s="87" t="s">
        <v>4877</v>
      </c>
      <c r="D1474" s="89">
        <v>0</v>
      </c>
      <c r="E1474" s="88"/>
      <c r="F1474" s="88"/>
      <c r="G1474" s="87" t="str">
        <f t="shared" si="22"/>
        <v>218910200'= DIARIAS A PAGAR105000026611036758770</v>
      </c>
      <c r="H1474" s="87" t="str">
        <f>VLOOKUP(Tabela1[[#This Row],[CONCATENAR]],'Classificações - Demonstrações'!$A$5:$C$46003,2,)</f>
        <v>Outras Obrigações</v>
      </c>
      <c r="I1474" s="87"/>
    </row>
    <row r="1475" spans="1:9" ht="12.75" customHeight="1" x14ac:dyDescent="0.2">
      <c r="A1475" s="94" t="s">
        <v>5360</v>
      </c>
      <c r="B1475" s="87" t="s">
        <v>587</v>
      </c>
      <c r="C1475" s="87" t="s">
        <v>5820</v>
      </c>
      <c r="D1475" s="89">
        <v>0</v>
      </c>
      <c r="E1475" s="88"/>
      <c r="F1475" s="88"/>
      <c r="G1475" s="87" t="str">
        <f t="shared" si="22"/>
        <v>218910200'= DIARIAS A PAGAR105000026611037627709</v>
      </c>
      <c r="H1475" s="87" t="str">
        <f>VLOOKUP(Tabela1[[#This Row],[CONCATENAR]],'Classificações - Demonstrações'!$A$5:$C$46003,2,)</f>
        <v>Outras Obrigações</v>
      </c>
      <c r="I1475" s="87"/>
    </row>
    <row r="1476" spans="1:9" ht="12.75" customHeight="1" x14ac:dyDescent="0.2">
      <c r="A1476" s="94" t="s">
        <v>5360</v>
      </c>
      <c r="B1476" s="87" t="s">
        <v>587</v>
      </c>
      <c r="C1476" s="87" t="s">
        <v>6332</v>
      </c>
      <c r="D1476" s="89">
        <v>0</v>
      </c>
      <c r="E1476" s="88"/>
      <c r="F1476" s="88"/>
      <c r="G1476" s="87" t="str">
        <f t="shared" si="22"/>
        <v>218910200'= DIARIAS A PAGAR105000026611100014799</v>
      </c>
      <c r="H1476" s="87" t="str">
        <f>VLOOKUP(Tabela1[[#This Row],[CONCATENAR]],'Classificações - Demonstrações'!$A$5:$C$46003,2,)</f>
        <v>Outras Obrigações</v>
      </c>
      <c r="I1476" s="87"/>
    </row>
    <row r="1477" spans="1:9" ht="12.75" customHeight="1" x14ac:dyDescent="0.2">
      <c r="A1477" s="94" t="s">
        <v>5360</v>
      </c>
      <c r="B1477" s="87" t="s">
        <v>587</v>
      </c>
      <c r="C1477" s="87" t="s">
        <v>4878</v>
      </c>
      <c r="D1477" s="89">
        <v>0</v>
      </c>
      <c r="E1477" s="88"/>
      <c r="F1477" s="88"/>
      <c r="G1477" s="87" t="str">
        <f t="shared" ref="G1477:G1540" si="23">CONCATENATE(A1477,B1477,C1477)</f>
        <v>218910200'= DIARIAS A PAGAR105000026611103375741</v>
      </c>
      <c r="H1477" s="87" t="str">
        <f>VLOOKUP(Tabela1[[#This Row],[CONCATENAR]],'Classificações - Demonstrações'!$A$5:$C$46003,2,)</f>
        <v>Outras Obrigações</v>
      </c>
      <c r="I1477" s="87"/>
    </row>
    <row r="1478" spans="1:9" ht="12.75" customHeight="1" x14ac:dyDescent="0.2">
      <c r="A1478" s="94" t="s">
        <v>5360</v>
      </c>
      <c r="B1478" s="87" t="s">
        <v>587</v>
      </c>
      <c r="C1478" s="87" t="s">
        <v>4879</v>
      </c>
      <c r="D1478" s="89">
        <v>0</v>
      </c>
      <c r="E1478" s="88"/>
      <c r="F1478" s="88"/>
      <c r="G1478" s="87" t="str">
        <f t="shared" si="23"/>
        <v>218910200'= DIARIAS A PAGAR105000026611103390708</v>
      </c>
      <c r="H1478" s="87" t="str">
        <f>VLOOKUP(Tabela1[[#This Row],[CONCATENAR]],'Classificações - Demonstrações'!$A$5:$C$46003,2,)</f>
        <v>Outras Obrigações</v>
      </c>
      <c r="I1478" s="87"/>
    </row>
    <row r="1479" spans="1:9" ht="12.75" customHeight="1" x14ac:dyDescent="0.2">
      <c r="A1479" s="94" t="s">
        <v>5360</v>
      </c>
      <c r="B1479" s="87" t="s">
        <v>587</v>
      </c>
      <c r="C1479" s="87" t="s">
        <v>4880</v>
      </c>
      <c r="D1479" s="89">
        <v>0</v>
      </c>
      <c r="E1479" s="88"/>
      <c r="F1479" s="88"/>
      <c r="G1479" s="87" t="str">
        <f t="shared" si="23"/>
        <v>218910200'= DIARIAS A PAGAR105000026611106048741</v>
      </c>
      <c r="H1479" s="87" t="str">
        <f>VLOOKUP(Tabela1[[#This Row],[CONCATENAR]],'Classificações - Demonstrações'!$A$5:$C$46003,2,)</f>
        <v>Outras Obrigações</v>
      </c>
      <c r="I1479" s="87"/>
    </row>
    <row r="1480" spans="1:9" ht="12.75" customHeight="1" x14ac:dyDescent="0.2">
      <c r="A1480" s="94" t="s">
        <v>5360</v>
      </c>
      <c r="B1480" s="87" t="s">
        <v>587</v>
      </c>
      <c r="C1480" s="87" t="s">
        <v>4881</v>
      </c>
      <c r="D1480" s="89">
        <v>0</v>
      </c>
      <c r="E1480" s="88"/>
      <c r="F1480" s="88"/>
      <c r="G1480" s="87" t="str">
        <f t="shared" si="23"/>
        <v>218910200'= DIARIAS A PAGAR105000026611146789700</v>
      </c>
      <c r="H1480" s="87" t="str">
        <f>VLOOKUP(Tabela1[[#This Row],[CONCATENAR]],'Classificações - Demonstrações'!$A$5:$C$46003,2,)</f>
        <v>Outras Obrigações</v>
      </c>
      <c r="I1480" s="87"/>
    </row>
    <row r="1481" spans="1:9" ht="12.75" customHeight="1" x14ac:dyDescent="0.2">
      <c r="A1481" s="94" t="s">
        <v>5360</v>
      </c>
      <c r="B1481" s="87" t="s">
        <v>587</v>
      </c>
      <c r="C1481" s="87" t="s">
        <v>5363</v>
      </c>
      <c r="D1481" s="89">
        <v>0</v>
      </c>
      <c r="E1481" s="88"/>
      <c r="F1481" s="88"/>
      <c r="G1481" s="87" t="str">
        <f t="shared" si="23"/>
        <v>218910200'= DIARIAS A PAGAR105000026611485189756</v>
      </c>
      <c r="H1481" s="87" t="str">
        <f>VLOOKUP(Tabela1[[#This Row],[CONCATENAR]],'Classificações - Demonstrações'!$A$5:$C$46003,2,)</f>
        <v>Outras Obrigações</v>
      </c>
      <c r="I1481" s="87"/>
    </row>
    <row r="1482" spans="1:9" ht="12.75" customHeight="1" x14ac:dyDescent="0.2">
      <c r="A1482" s="94" t="s">
        <v>5360</v>
      </c>
      <c r="B1482" s="87" t="s">
        <v>587</v>
      </c>
      <c r="C1482" s="87" t="s">
        <v>4882</v>
      </c>
      <c r="D1482" s="89">
        <v>0</v>
      </c>
      <c r="E1482" s="88"/>
      <c r="F1482" s="88"/>
      <c r="G1482" s="87" t="str">
        <f t="shared" si="23"/>
        <v>218910200'= DIARIAS A PAGAR105000026611496825748</v>
      </c>
      <c r="H1482" s="87" t="str">
        <f>VLOOKUP(Tabela1[[#This Row],[CONCATENAR]],'Classificações - Demonstrações'!$A$5:$C$46003,2,)</f>
        <v>Outras Obrigações</v>
      </c>
      <c r="I1482" s="87"/>
    </row>
    <row r="1483" spans="1:9" ht="12.75" customHeight="1" x14ac:dyDescent="0.2">
      <c r="A1483" s="94" t="s">
        <v>5360</v>
      </c>
      <c r="B1483" s="87" t="s">
        <v>587</v>
      </c>
      <c r="C1483" s="87" t="s">
        <v>4883</v>
      </c>
      <c r="D1483" s="89">
        <v>0</v>
      </c>
      <c r="E1483" s="88"/>
      <c r="F1483" s="88"/>
      <c r="G1483" s="87" t="str">
        <f t="shared" si="23"/>
        <v>218910200'= DIARIAS A PAGAR105000026611621224716</v>
      </c>
      <c r="H1483" s="87" t="str">
        <f>VLOOKUP(Tabela1[[#This Row],[CONCATENAR]],'Classificações - Demonstrações'!$A$5:$C$46003,2,)</f>
        <v>Outras Obrigações</v>
      </c>
      <c r="I1483" s="87"/>
    </row>
    <row r="1484" spans="1:9" ht="12.75" customHeight="1" x14ac:dyDescent="0.2">
      <c r="A1484" s="94" t="s">
        <v>5360</v>
      </c>
      <c r="B1484" s="87" t="s">
        <v>587</v>
      </c>
      <c r="C1484" s="87" t="s">
        <v>6333</v>
      </c>
      <c r="D1484" s="89">
        <v>0</v>
      </c>
      <c r="E1484" s="88"/>
      <c r="F1484" s="88"/>
      <c r="G1484" s="87" t="str">
        <f t="shared" si="23"/>
        <v>218910200'= DIARIAS A PAGAR105000026611624919731</v>
      </c>
      <c r="H1484" s="87" t="str">
        <f>VLOOKUP(Tabela1[[#This Row],[CONCATENAR]],'Classificações - Demonstrações'!$A$5:$C$46003,2,)</f>
        <v>Outras Obrigações</v>
      </c>
      <c r="I1484" s="87"/>
    </row>
    <row r="1485" spans="1:9" ht="12.75" customHeight="1" x14ac:dyDescent="0.2">
      <c r="A1485" s="94" t="s">
        <v>5360</v>
      </c>
      <c r="B1485" s="87" t="s">
        <v>587</v>
      </c>
      <c r="C1485" s="87" t="s">
        <v>6334</v>
      </c>
      <c r="D1485" s="89">
        <v>0</v>
      </c>
      <c r="E1485" s="88"/>
      <c r="F1485" s="88"/>
      <c r="G1485" s="87" t="str">
        <f t="shared" si="23"/>
        <v>218910200'= DIARIAS A PAGAR105000026611836140711</v>
      </c>
      <c r="H1485" s="87" t="str">
        <f>VLOOKUP(Tabela1[[#This Row],[CONCATENAR]],'Classificações - Demonstrações'!$A$5:$C$46003,2,)</f>
        <v>Outras Obrigações</v>
      </c>
      <c r="I1485" s="87"/>
    </row>
    <row r="1486" spans="1:9" ht="12.75" customHeight="1" x14ac:dyDescent="0.2">
      <c r="A1486" s="94" t="s">
        <v>5360</v>
      </c>
      <c r="B1486" s="87" t="s">
        <v>587</v>
      </c>
      <c r="C1486" s="87" t="s">
        <v>4884</v>
      </c>
      <c r="D1486" s="89">
        <v>0</v>
      </c>
      <c r="E1486" s="88"/>
      <c r="F1486" s="88"/>
      <c r="G1486" s="87" t="str">
        <f t="shared" si="23"/>
        <v>218910200'= DIARIAS A PAGAR105000026611882656792</v>
      </c>
      <c r="H1486" s="87" t="str">
        <f>VLOOKUP(Tabela1[[#This Row],[CONCATENAR]],'Classificações - Demonstrações'!$A$5:$C$46003,2,)</f>
        <v>Outras Obrigações</v>
      </c>
      <c r="I1486" s="87"/>
    </row>
    <row r="1487" spans="1:9" ht="12.75" customHeight="1" x14ac:dyDescent="0.2">
      <c r="A1487" s="94" t="s">
        <v>5360</v>
      </c>
      <c r="B1487" s="87" t="s">
        <v>587</v>
      </c>
      <c r="C1487" s="87" t="s">
        <v>4885</v>
      </c>
      <c r="D1487" s="89">
        <v>0</v>
      </c>
      <c r="E1487" s="88"/>
      <c r="F1487" s="88"/>
      <c r="G1487" s="87" t="str">
        <f t="shared" si="23"/>
        <v>218910200'= DIARIAS A PAGAR105000026611888471719</v>
      </c>
      <c r="H1487" s="87" t="str">
        <f>VLOOKUP(Tabela1[[#This Row],[CONCATENAR]],'Classificações - Demonstrações'!$A$5:$C$46003,2,)</f>
        <v>Outras Obrigações</v>
      </c>
      <c r="I1487" s="87"/>
    </row>
    <row r="1488" spans="1:9" ht="12.75" customHeight="1" x14ac:dyDescent="0.2">
      <c r="A1488" s="94" t="s">
        <v>5360</v>
      </c>
      <c r="B1488" s="87" t="s">
        <v>587</v>
      </c>
      <c r="C1488" s="87" t="s">
        <v>4886</v>
      </c>
      <c r="D1488" s="89">
        <v>0</v>
      </c>
      <c r="E1488" s="88"/>
      <c r="F1488" s="88"/>
      <c r="G1488" s="87" t="str">
        <f t="shared" si="23"/>
        <v>218910200'= DIARIAS A PAGAR105000026611930765797</v>
      </c>
      <c r="H1488" s="87" t="str">
        <f>VLOOKUP(Tabela1[[#This Row],[CONCATENAR]],'Classificações - Demonstrações'!$A$5:$C$46003,2,)</f>
        <v>Outras Obrigações</v>
      </c>
      <c r="I1488" s="87"/>
    </row>
    <row r="1489" spans="1:9" ht="12.75" customHeight="1" x14ac:dyDescent="0.2">
      <c r="A1489" s="94" t="s">
        <v>5360</v>
      </c>
      <c r="B1489" s="87" t="s">
        <v>587</v>
      </c>
      <c r="C1489" s="87" t="s">
        <v>4887</v>
      </c>
      <c r="D1489" s="89">
        <v>0</v>
      </c>
      <c r="E1489" s="88"/>
      <c r="F1489" s="88"/>
      <c r="G1489" s="87" t="str">
        <f t="shared" si="23"/>
        <v>218910200'= DIARIAS A PAGAR105000026612010504720</v>
      </c>
      <c r="H1489" s="87" t="str">
        <f>VLOOKUP(Tabela1[[#This Row],[CONCATENAR]],'Classificações - Demonstrações'!$A$5:$C$46003,2,)</f>
        <v>Outras Obrigações</v>
      </c>
      <c r="I1489" s="87"/>
    </row>
    <row r="1490" spans="1:9" ht="12.75" customHeight="1" x14ac:dyDescent="0.2">
      <c r="A1490" s="94" t="s">
        <v>5360</v>
      </c>
      <c r="B1490" s="87" t="s">
        <v>587</v>
      </c>
      <c r="C1490" s="87" t="s">
        <v>4888</v>
      </c>
      <c r="D1490" s="89">
        <v>0</v>
      </c>
      <c r="E1490" s="88"/>
      <c r="F1490" s="88"/>
      <c r="G1490" s="87" t="str">
        <f t="shared" si="23"/>
        <v>218910200'= DIARIAS A PAGAR105000026612099934738</v>
      </c>
      <c r="H1490" s="87" t="str">
        <f>VLOOKUP(Tabela1[[#This Row],[CONCATENAR]],'Classificações - Demonstrações'!$A$5:$C$46003,2,)</f>
        <v>Outras Obrigações</v>
      </c>
      <c r="I1490" s="87"/>
    </row>
    <row r="1491" spans="1:9" ht="12.75" customHeight="1" x14ac:dyDescent="0.2">
      <c r="A1491" s="94" t="s">
        <v>5360</v>
      </c>
      <c r="B1491" s="87" t="s">
        <v>587</v>
      </c>
      <c r="C1491" s="87" t="s">
        <v>4889</v>
      </c>
      <c r="D1491" s="89">
        <v>0</v>
      </c>
      <c r="E1491" s="88"/>
      <c r="F1491" s="88"/>
      <c r="G1491" s="87" t="str">
        <f t="shared" si="23"/>
        <v>218910200'= DIARIAS A PAGAR105000026612116849705</v>
      </c>
      <c r="H1491" s="87" t="str">
        <f>VLOOKUP(Tabela1[[#This Row],[CONCATENAR]],'Classificações - Demonstrações'!$A$5:$C$46003,2,)</f>
        <v>Outras Obrigações</v>
      </c>
      <c r="I1491" s="87"/>
    </row>
    <row r="1492" spans="1:9" ht="12.75" customHeight="1" x14ac:dyDescent="0.2">
      <c r="A1492" s="94" t="s">
        <v>5360</v>
      </c>
      <c r="B1492" s="87" t="s">
        <v>587</v>
      </c>
      <c r="C1492" s="87" t="s">
        <v>4890</v>
      </c>
      <c r="D1492" s="89">
        <v>0</v>
      </c>
      <c r="E1492" s="88"/>
      <c r="F1492" s="88"/>
      <c r="G1492" s="87" t="str">
        <f t="shared" si="23"/>
        <v>218910200'= DIARIAS A PAGAR105000026612178480705</v>
      </c>
      <c r="H1492" s="87" t="str">
        <f>VLOOKUP(Tabela1[[#This Row],[CONCATENAR]],'Classificações - Demonstrações'!$A$5:$C$46003,2,)</f>
        <v>Outras Obrigações</v>
      </c>
      <c r="I1492" s="87"/>
    </row>
    <row r="1493" spans="1:9" ht="12.75" customHeight="1" x14ac:dyDescent="0.2">
      <c r="A1493" s="94" t="s">
        <v>5360</v>
      </c>
      <c r="B1493" s="87" t="s">
        <v>587</v>
      </c>
      <c r="C1493" s="87" t="s">
        <v>6335</v>
      </c>
      <c r="D1493" s="89">
        <v>0</v>
      </c>
      <c r="E1493" s="88"/>
      <c r="F1493" s="88"/>
      <c r="G1493" s="87" t="str">
        <f t="shared" si="23"/>
        <v>218910200'= DIARIAS A PAGAR105000026612179313764</v>
      </c>
      <c r="H1493" s="87" t="str">
        <f>VLOOKUP(Tabela1[[#This Row],[CONCATENAR]],'Classificações - Demonstrações'!$A$5:$C$46003,2,)</f>
        <v>Outras Obrigações</v>
      </c>
      <c r="I1493" s="87"/>
    </row>
    <row r="1494" spans="1:9" ht="12.75" customHeight="1" x14ac:dyDescent="0.2">
      <c r="A1494" s="94" t="s">
        <v>5360</v>
      </c>
      <c r="B1494" s="87" t="s">
        <v>587</v>
      </c>
      <c r="C1494" s="87" t="s">
        <v>4891</v>
      </c>
      <c r="D1494" s="89">
        <v>0</v>
      </c>
      <c r="E1494" s="88"/>
      <c r="F1494" s="88"/>
      <c r="G1494" s="87" t="str">
        <f t="shared" si="23"/>
        <v>218910200'= DIARIAS A PAGAR105000026612207050718</v>
      </c>
      <c r="H1494" s="87" t="str">
        <f>VLOOKUP(Tabela1[[#This Row],[CONCATENAR]],'Classificações - Demonstrações'!$A$5:$C$46003,2,)</f>
        <v>Outras Obrigações</v>
      </c>
      <c r="I1494" s="87"/>
    </row>
    <row r="1495" spans="1:9" ht="12.75" customHeight="1" x14ac:dyDescent="0.2">
      <c r="A1495" s="94" t="s">
        <v>5360</v>
      </c>
      <c r="B1495" s="87" t="s">
        <v>587</v>
      </c>
      <c r="C1495" s="87" t="s">
        <v>4892</v>
      </c>
      <c r="D1495" s="89">
        <v>0</v>
      </c>
      <c r="E1495" s="88"/>
      <c r="F1495" s="88"/>
      <c r="G1495" s="87" t="str">
        <f t="shared" si="23"/>
        <v>218910200'= DIARIAS A PAGAR105000026612228568759</v>
      </c>
      <c r="H1495" s="87" t="str">
        <f>VLOOKUP(Tabela1[[#This Row],[CONCATENAR]],'Classificações - Demonstrações'!$A$5:$C$46003,2,)</f>
        <v>Outras Obrigações</v>
      </c>
      <c r="I1495" s="87"/>
    </row>
    <row r="1496" spans="1:9" ht="12.75" customHeight="1" x14ac:dyDescent="0.2">
      <c r="A1496" s="94" t="s">
        <v>5360</v>
      </c>
      <c r="B1496" s="87" t="s">
        <v>587</v>
      </c>
      <c r="C1496" s="87" t="s">
        <v>6336</v>
      </c>
      <c r="D1496" s="89">
        <v>0</v>
      </c>
      <c r="E1496" s="88"/>
      <c r="F1496" s="88"/>
      <c r="G1496" s="87" t="str">
        <f t="shared" si="23"/>
        <v>218910200'= DIARIAS A PAGAR105000026612232702707</v>
      </c>
      <c r="H1496" s="87" t="str">
        <f>VLOOKUP(Tabela1[[#This Row],[CONCATENAR]],'Classificações - Demonstrações'!$A$5:$C$46003,2,)</f>
        <v>Outras Obrigações</v>
      </c>
      <c r="I1496" s="87"/>
    </row>
    <row r="1497" spans="1:9" ht="12.75" customHeight="1" x14ac:dyDescent="0.2">
      <c r="A1497" s="94" t="s">
        <v>5360</v>
      </c>
      <c r="B1497" s="87" t="s">
        <v>587</v>
      </c>
      <c r="C1497" s="87" t="s">
        <v>4893</v>
      </c>
      <c r="D1497" s="89">
        <v>0</v>
      </c>
      <c r="E1497" s="88"/>
      <c r="F1497" s="88"/>
      <c r="G1497" s="87" t="str">
        <f t="shared" si="23"/>
        <v>218910200'= DIARIAS A PAGAR105000026612360509756</v>
      </c>
      <c r="H1497" s="87" t="str">
        <f>VLOOKUP(Tabela1[[#This Row],[CONCATENAR]],'Classificações - Demonstrações'!$A$5:$C$46003,2,)</f>
        <v>Outras Obrigações</v>
      </c>
      <c r="I1497" s="87"/>
    </row>
    <row r="1498" spans="1:9" ht="12.75" customHeight="1" x14ac:dyDescent="0.2">
      <c r="A1498" s="94" t="s">
        <v>5360</v>
      </c>
      <c r="B1498" s="87" t="s">
        <v>587</v>
      </c>
      <c r="C1498" s="87" t="s">
        <v>4894</v>
      </c>
      <c r="D1498" s="89">
        <v>4620</v>
      </c>
      <c r="E1498" s="88"/>
      <c r="F1498" s="88"/>
      <c r="G1498" s="87" t="str">
        <f t="shared" si="23"/>
        <v>218910200'= DIARIAS A PAGAR105000026612416679775</v>
      </c>
      <c r="H1498" s="87" t="str">
        <f>VLOOKUP(Tabela1[[#This Row],[CONCATENAR]],'Classificações - Demonstrações'!$A$5:$C$46003,2,)</f>
        <v>Outras Obrigações</v>
      </c>
      <c r="I1498" s="87"/>
    </row>
    <row r="1499" spans="1:9" ht="12.75" customHeight="1" x14ac:dyDescent="0.2">
      <c r="A1499" s="94" t="s">
        <v>5360</v>
      </c>
      <c r="B1499" s="87" t="s">
        <v>587</v>
      </c>
      <c r="C1499" s="87" t="s">
        <v>6337</v>
      </c>
      <c r="D1499" s="89">
        <v>0</v>
      </c>
      <c r="E1499" s="88"/>
      <c r="F1499" s="88"/>
      <c r="G1499" s="87" t="str">
        <f t="shared" si="23"/>
        <v>218910200'= DIARIAS A PAGAR105000026612455956792</v>
      </c>
      <c r="H1499" s="87" t="str">
        <f>VLOOKUP(Tabela1[[#This Row],[CONCATENAR]],'Classificações - Demonstrações'!$A$5:$C$46003,2,)</f>
        <v>Outras Obrigações</v>
      </c>
      <c r="I1499" s="87"/>
    </row>
    <row r="1500" spans="1:9" ht="12.75" customHeight="1" x14ac:dyDescent="0.2">
      <c r="A1500" s="94" t="s">
        <v>5360</v>
      </c>
      <c r="B1500" s="87" t="s">
        <v>587</v>
      </c>
      <c r="C1500" s="87" t="s">
        <v>4895</v>
      </c>
      <c r="D1500" s="89">
        <v>0</v>
      </c>
      <c r="E1500" s="88"/>
      <c r="F1500" s="88"/>
      <c r="G1500" s="87" t="str">
        <f t="shared" si="23"/>
        <v>218910200'= DIARIAS A PAGAR105000026612530156786</v>
      </c>
      <c r="H1500" s="87" t="str">
        <f>VLOOKUP(Tabela1[[#This Row],[CONCATENAR]],'Classificações - Demonstrações'!$A$5:$C$46003,2,)</f>
        <v>Outras Obrigações</v>
      </c>
      <c r="I1500" s="87"/>
    </row>
    <row r="1501" spans="1:9" ht="12.75" customHeight="1" x14ac:dyDescent="0.2">
      <c r="A1501" s="94" t="s">
        <v>5360</v>
      </c>
      <c r="B1501" s="87" t="s">
        <v>587</v>
      </c>
      <c r="C1501" s="87" t="s">
        <v>4896</v>
      </c>
      <c r="D1501" s="89">
        <v>0</v>
      </c>
      <c r="E1501" s="88"/>
      <c r="F1501" s="88"/>
      <c r="G1501" s="87" t="str">
        <f t="shared" si="23"/>
        <v>218910200'= DIARIAS A PAGAR105000026612609177704</v>
      </c>
      <c r="H1501" s="87" t="str">
        <f>VLOOKUP(Tabela1[[#This Row],[CONCATENAR]],'Classificações - Demonstrações'!$A$5:$C$46003,2,)</f>
        <v>Outras Obrigações</v>
      </c>
      <c r="I1501" s="87"/>
    </row>
    <row r="1502" spans="1:9" ht="12.75" customHeight="1" x14ac:dyDescent="0.2">
      <c r="A1502" s="94" t="s">
        <v>5360</v>
      </c>
      <c r="B1502" s="87" t="s">
        <v>587</v>
      </c>
      <c r="C1502" s="87" t="s">
        <v>4897</v>
      </c>
      <c r="D1502" s="89">
        <v>0</v>
      </c>
      <c r="E1502" s="88"/>
      <c r="F1502" s="88"/>
      <c r="G1502" s="87" t="str">
        <f t="shared" si="23"/>
        <v>218910200'= DIARIAS A PAGAR105000026612662396776</v>
      </c>
      <c r="H1502" s="87" t="str">
        <f>VLOOKUP(Tabela1[[#This Row],[CONCATENAR]],'Classificações - Demonstrações'!$A$5:$C$46003,2,)</f>
        <v>Outras Obrigações</v>
      </c>
      <c r="I1502" s="87"/>
    </row>
    <row r="1503" spans="1:9" ht="12.75" customHeight="1" x14ac:dyDescent="0.2">
      <c r="A1503" s="94" t="s">
        <v>5360</v>
      </c>
      <c r="B1503" s="87" t="s">
        <v>587</v>
      </c>
      <c r="C1503" s="87" t="s">
        <v>6338</v>
      </c>
      <c r="D1503" s="89">
        <v>0</v>
      </c>
      <c r="E1503" s="88"/>
      <c r="F1503" s="88"/>
      <c r="G1503" s="87" t="str">
        <f t="shared" si="23"/>
        <v>218910200'= DIARIAS A PAGAR105000026612767938714</v>
      </c>
      <c r="H1503" s="87" t="str">
        <f>VLOOKUP(Tabela1[[#This Row],[CONCATENAR]],'Classificações - Demonstrações'!$A$5:$C$46003,2,)</f>
        <v>Outras Obrigações</v>
      </c>
      <c r="I1503" s="87"/>
    </row>
    <row r="1504" spans="1:9" ht="12.75" customHeight="1" x14ac:dyDescent="0.2">
      <c r="A1504" s="94" t="s">
        <v>5360</v>
      </c>
      <c r="B1504" s="87" t="s">
        <v>587</v>
      </c>
      <c r="C1504" s="87" t="s">
        <v>6339</v>
      </c>
      <c r="D1504" s="89">
        <v>0</v>
      </c>
      <c r="E1504" s="88"/>
      <c r="F1504" s="88"/>
      <c r="G1504" s="87" t="str">
        <f t="shared" si="23"/>
        <v>218910200'= DIARIAS A PAGAR105000026612835806750</v>
      </c>
      <c r="H1504" s="87" t="str">
        <f>VLOOKUP(Tabela1[[#This Row],[CONCATENAR]],'Classificações - Demonstrações'!$A$5:$C$46003,2,)</f>
        <v>Outras Obrigações</v>
      </c>
      <c r="I1504" s="87"/>
    </row>
    <row r="1505" spans="1:9" ht="12.75" customHeight="1" x14ac:dyDescent="0.2">
      <c r="A1505" s="94" t="s">
        <v>5360</v>
      </c>
      <c r="B1505" s="87" t="s">
        <v>587</v>
      </c>
      <c r="C1505" s="87" t="s">
        <v>6340</v>
      </c>
      <c r="D1505" s="89">
        <v>0</v>
      </c>
      <c r="E1505" s="88"/>
      <c r="F1505" s="88"/>
      <c r="G1505" s="87" t="str">
        <f t="shared" si="23"/>
        <v>218910200'= DIARIAS A PAGAR105000026612907866745</v>
      </c>
      <c r="H1505" s="87" t="str">
        <f>VLOOKUP(Tabela1[[#This Row],[CONCATENAR]],'Classificações - Demonstrações'!$A$5:$C$46003,2,)</f>
        <v>Outras Obrigações</v>
      </c>
      <c r="I1505" s="87"/>
    </row>
    <row r="1506" spans="1:9" ht="12.75" customHeight="1" x14ac:dyDescent="0.2">
      <c r="A1506" s="94" t="s">
        <v>5360</v>
      </c>
      <c r="B1506" s="87" t="s">
        <v>587</v>
      </c>
      <c r="C1506" s="87" t="s">
        <v>4898</v>
      </c>
      <c r="D1506" s="89">
        <v>0</v>
      </c>
      <c r="E1506" s="88"/>
      <c r="F1506" s="88"/>
      <c r="G1506" s="87" t="str">
        <f t="shared" si="23"/>
        <v>218910200'= DIARIAS A PAGAR105000026612952461716</v>
      </c>
      <c r="H1506" s="87" t="str">
        <f>VLOOKUP(Tabela1[[#This Row],[CONCATENAR]],'Classificações - Demonstrações'!$A$5:$C$46003,2,)</f>
        <v>Outras Obrigações</v>
      </c>
      <c r="I1506" s="87"/>
    </row>
    <row r="1507" spans="1:9" ht="12.75" customHeight="1" x14ac:dyDescent="0.2">
      <c r="A1507" s="94" t="s">
        <v>5360</v>
      </c>
      <c r="B1507" s="87" t="s">
        <v>587</v>
      </c>
      <c r="C1507" s="87" t="s">
        <v>4679</v>
      </c>
      <c r="D1507" s="89">
        <v>0</v>
      </c>
      <c r="E1507" s="88"/>
      <c r="F1507" s="88"/>
      <c r="G1507" s="87" t="str">
        <f t="shared" si="23"/>
        <v>218910200'= DIARIAS A PAGAR105000026613045670792</v>
      </c>
      <c r="H1507" s="87" t="str">
        <f>VLOOKUP(Tabela1[[#This Row],[CONCATENAR]],'Classificações - Demonstrações'!$A$5:$C$46003,2,)</f>
        <v>Outras Obrigações</v>
      </c>
      <c r="I1507" s="87"/>
    </row>
    <row r="1508" spans="1:9" ht="12.75" customHeight="1" x14ac:dyDescent="0.2">
      <c r="A1508" s="94" t="s">
        <v>5360</v>
      </c>
      <c r="B1508" s="87" t="s">
        <v>587</v>
      </c>
      <c r="C1508" s="87" t="s">
        <v>4899</v>
      </c>
      <c r="D1508" s="89">
        <v>0</v>
      </c>
      <c r="E1508" s="88"/>
      <c r="F1508" s="88"/>
      <c r="G1508" s="87" t="str">
        <f t="shared" si="23"/>
        <v>218910200'= DIARIAS A PAGAR105000026613069590713</v>
      </c>
      <c r="H1508" s="87" t="str">
        <f>VLOOKUP(Tabela1[[#This Row],[CONCATENAR]],'Classificações - Demonstrações'!$A$5:$C$46003,2,)</f>
        <v>Outras Obrigações</v>
      </c>
      <c r="I1508" s="87"/>
    </row>
    <row r="1509" spans="1:9" ht="12.75" customHeight="1" x14ac:dyDescent="0.2">
      <c r="A1509" s="94" t="s">
        <v>5360</v>
      </c>
      <c r="B1509" s="87" t="s">
        <v>587</v>
      </c>
      <c r="C1509" s="87" t="s">
        <v>4900</v>
      </c>
      <c r="D1509" s="89">
        <v>0</v>
      </c>
      <c r="E1509" s="88"/>
      <c r="F1509" s="88"/>
      <c r="G1509" s="87" t="str">
        <f t="shared" si="23"/>
        <v>218910200'= DIARIAS A PAGAR105000026613151337767</v>
      </c>
      <c r="H1509" s="87" t="str">
        <f>VLOOKUP(Tabela1[[#This Row],[CONCATENAR]],'Classificações - Demonstrações'!$A$5:$C$46003,2,)</f>
        <v>Outras Obrigações</v>
      </c>
      <c r="I1509" s="87"/>
    </row>
    <row r="1510" spans="1:9" ht="12.75" customHeight="1" x14ac:dyDescent="0.2">
      <c r="A1510" s="94" t="s">
        <v>5360</v>
      </c>
      <c r="B1510" s="87" t="s">
        <v>587</v>
      </c>
      <c r="C1510" s="87" t="s">
        <v>4680</v>
      </c>
      <c r="D1510" s="89">
        <v>0</v>
      </c>
      <c r="E1510" s="88"/>
      <c r="F1510" s="88"/>
      <c r="G1510" s="87" t="str">
        <f t="shared" si="23"/>
        <v>218910200'= DIARIAS A PAGAR105000026613151475728</v>
      </c>
      <c r="H1510" s="87" t="str">
        <f>VLOOKUP(Tabela1[[#This Row],[CONCATENAR]],'Classificações - Demonstrações'!$A$5:$C$46003,2,)</f>
        <v>Outras Obrigações</v>
      </c>
      <c r="I1510" s="87"/>
    </row>
    <row r="1511" spans="1:9" ht="12.75" customHeight="1" x14ac:dyDescent="0.2">
      <c r="A1511" s="94" t="s">
        <v>5360</v>
      </c>
      <c r="B1511" s="87" t="s">
        <v>587</v>
      </c>
      <c r="C1511" s="87" t="s">
        <v>4901</v>
      </c>
      <c r="D1511" s="89">
        <v>0</v>
      </c>
      <c r="E1511" s="88"/>
      <c r="F1511" s="88"/>
      <c r="G1511" s="87" t="str">
        <f t="shared" si="23"/>
        <v>218910200'= DIARIAS A PAGAR105000026613258665710</v>
      </c>
      <c r="H1511" s="87" t="str">
        <f>VLOOKUP(Tabela1[[#This Row],[CONCATENAR]],'Classificações - Demonstrações'!$A$5:$C$46003,2,)</f>
        <v>Outras Obrigações</v>
      </c>
      <c r="I1511" s="87"/>
    </row>
    <row r="1512" spans="1:9" ht="12.75" customHeight="1" x14ac:dyDescent="0.2">
      <c r="A1512" s="94" t="s">
        <v>5360</v>
      </c>
      <c r="B1512" s="87" t="s">
        <v>587</v>
      </c>
      <c r="C1512" s="87" t="s">
        <v>4902</v>
      </c>
      <c r="D1512" s="89">
        <v>0</v>
      </c>
      <c r="E1512" s="88"/>
      <c r="F1512" s="88"/>
      <c r="G1512" s="87" t="str">
        <f t="shared" si="23"/>
        <v>218910200'= DIARIAS A PAGAR105000026613333191776</v>
      </c>
      <c r="H1512" s="87" t="str">
        <f>VLOOKUP(Tabela1[[#This Row],[CONCATENAR]],'Classificações - Demonstrações'!$A$5:$C$46003,2,)</f>
        <v>Outras Obrigações</v>
      </c>
      <c r="I1512" s="87"/>
    </row>
    <row r="1513" spans="1:9" ht="12.75" customHeight="1" x14ac:dyDescent="0.2">
      <c r="A1513" s="94" t="s">
        <v>5360</v>
      </c>
      <c r="B1513" s="87" t="s">
        <v>587</v>
      </c>
      <c r="C1513" s="87" t="s">
        <v>6341</v>
      </c>
      <c r="D1513" s="89">
        <v>0</v>
      </c>
      <c r="E1513" s="88"/>
      <c r="F1513" s="88"/>
      <c r="G1513" s="87" t="str">
        <f t="shared" si="23"/>
        <v>218910200'= DIARIAS A PAGAR105000026613474582712</v>
      </c>
      <c r="H1513" s="87" t="str">
        <f>VLOOKUP(Tabela1[[#This Row],[CONCATENAR]],'Classificações - Demonstrações'!$A$5:$C$46003,2,)</f>
        <v>Outras Obrigações</v>
      </c>
      <c r="I1513" s="87"/>
    </row>
    <row r="1514" spans="1:9" ht="12.75" customHeight="1" x14ac:dyDescent="0.2">
      <c r="A1514" s="94" t="s">
        <v>5360</v>
      </c>
      <c r="B1514" s="87" t="s">
        <v>587</v>
      </c>
      <c r="C1514" s="87" t="s">
        <v>4903</v>
      </c>
      <c r="D1514" s="89">
        <v>0</v>
      </c>
      <c r="E1514" s="88"/>
      <c r="F1514" s="88"/>
      <c r="G1514" s="87" t="str">
        <f t="shared" si="23"/>
        <v>218910200'= DIARIAS A PAGAR105000026613480920764</v>
      </c>
      <c r="H1514" s="87" t="str">
        <f>VLOOKUP(Tabela1[[#This Row],[CONCATENAR]],'Classificações - Demonstrações'!$A$5:$C$46003,2,)</f>
        <v>Outras Obrigações</v>
      </c>
      <c r="I1514" s="87"/>
    </row>
    <row r="1515" spans="1:9" ht="12.75" customHeight="1" x14ac:dyDescent="0.2">
      <c r="A1515" s="94" t="s">
        <v>5360</v>
      </c>
      <c r="B1515" s="87" t="s">
        <v>587</v>
      </c>
      <c r="C1515" s="87" t="s">
        <v>4904</v>
      </c>
      <c r="D1515" s="89">
        <v>0</v>
      </c>
      <c r="E1515" s="88"/>
      <c r="F1515" s="88"/>
      <c r="G1515" s="87" t="str">
        <f t="shared" si="23"/>
        <v>218910200'= DIARIAS A PAGAR105000026613497946788</v>
      </c>
      <c r="H1515" s="87" t="str">
        <f>VLOOKUP(Tabela1[[#This Row],[CONCATENAR]],'Classificações - Demonstrações'!$A$5:$C$46003,2,)</f>
        <v>Outras Obrigações</v>
      </c>
      <c r="I1515" s="87"/>
    </row>
    <row r="1516" spans="1:9" ht="12.75" customHeight="1" x14ac:dyDescent="0.2">
      <c r="A1516" s="94" t="s">
        <v>5360</v>
      </c>
      <c r="B1516" s="87" t="s">
        <v>587</v>
      </c>
      <c r="C1516" s="87" t="s">
        <v>4905</v>
      </c>
      <c r="D1516" s="89">
        <v>0</v>
      </c>
      <c r="E1516" s="88"/>
      <c r="F1516" s="88"/>
      <c r="G1516" s="87" t="str">
        <f t="shared" si="23"/>
        <v>218910200'= DIARIAS A PAGAR105000026613668542767</v>
      </c>
      <c r="H1516" s="87" t="str">
        <f>VLOOKUP(Tabela1[[#This Row],[CONCATENAR]],'Classificações - Demonstrações'!$A$5:$C$46003,2,)</f>
        <v>Outras Obrigações</v>
      </c>
      <c r="I1516" s="87"/>
    </row>
    <row r="1517" spans="1:9" ht="12.75" customHeight="1" x14ac:dyDescent="0.2">
      <c r="A1517" s="94" t="s">
        <v>5360</v>
      </c>
      <c r="B1517" s="87" t="s">
        <v>587</v>
      </c>
      <c r="C1517" s="87" t="s">
        <v>4906</v>
      </c>
      <c r="D1517" s="89">
        <v>0</v>
      </c>
      <c r="E1517" s="88"/>
      <c r="F1517" s="88"/>
      <c r="G1517" s="87" t="str">
        <f t="shared" si="23"/>
        <v>218910200'= DIARIAS A PAGAR105000026613874852709</v>
      </c>
      <c r="H1517" s="87" t="str">
        <f>VLOOKUP(Tabela1[[#This Row],[CONCATENAR]],'Classificações - Demonstrações'!$A$5:$C$46003,2,)</f>
        <v>Outras Obrigações</v>
      </c>
      <c r="I1517" s="87"/>
    </row>
    <row r="1518" spans="1:9" ht="12.75" customHeight="1" x14ac:dyDescent="0.2">
      <c r="A1518" s="94" t="s">
        <v>5360</v>
      </c>
      <c r="B1518" s="87" t="s">
        <v>587</v>
      </c>
      <c r="C1518" s="87" t="s">
        <v>5821</v>
      </c>
      <c r="D1518" s="89">
        <v>0</v>
      </c>
      <c r="E1518" s="88"/>
      <c r="F1518" s="88"/>
      <c r="G1518" s="87" t="str">
        <f t="shared" si="23"/>
        <v>218910200'= DIARIAS A PAGAR105000026613900181721</v>
      </c>
      <c r="H1518" s="87" t="str">
        <f>VLOOKUP(Tabela1[[#This Row],[CONCATENAR]],'Classificações - Demonstrações'!$A$5:$C$46003,2,)</f>
        <v>Outras Obrigações</v>
      </c>
      <c r="I1518" s="87"/>
    </row>
    <row r="1519" spans="1:9" ht="12.75" customHeight="1" x14ac:dyDescent="0.2">
      <c r="A1519" s="94" t="s">
        <v>5360</v>
      </c>
      <c r="B1519" s="87" t="s">
        <v>587</v>
      </c>
      <c r="C1519" s="87" t="s">
        <v>4907</v>
      </c>
      <c r="D1519" s="89">
        <v>0</v>
      </c>
      <c r="E1519" s="88"/>
      <c r="F1519" s="88"/>
      <c r="G1519" s="87" t="str">
        <f t="shared" si="23"/>
        <v>218910200'= DIARIAS A PAGAR105000026613986385797</v>
      </c>
      <c r="H1519" s="87" t="str">
        <f>VLOOKUP(Tabela1[[#This Row],[CONCATENAR]],'Classificações - Demonstrações'!$A$5:$C$46003,2,)</f>
        <v>Outras Obrigações</v>
      </c>
      <c r="I1519" s="87"/>
    </row>
    <row r="1520" spans="1:9" ht="12.75" customHeight="1" x14ac:dyDescent="0.2">
      <c r="A1520" s="94" t="s">
        <v>5360</v>
      </c>
      <c r="B1520" s="87" t="s">
        <v>587</v>
      </c>
      <c r="C1520" s="87" t="s">
        <v>6342</v>
      </c>
      <c r="D1520" s="89">
        <v>0</v>
      </c>
      <c r="E1520" s="88"/>
      <c r="F1520" s="88"/>
      <c r="G1520" s="87" t="str">
        <f t="shared" si="23"/>
        <v>218910200'= DIARIAS A PAGAR105000026614026860728</v>
      </c>
      <c r="H1520" s="87" t="str">
        <f>VLOOKUP(Tabela1[[#This Row],[CONCATENAR]],'Classificações - Demonstrações'!$A$5:$C$46003,2,)</f>
        <v>Outras Obrigações</v>
      </c>
      <c r="I1520" s="87"/>
    </row>
    <row r="1521" spans="1:9" ht="12.75" customHeight="1" x14ac:dyDescent="0.2">
      <c r="A1521" s="94" t="s">
        <v>5360</v>
      </c>
      <c r="B1521" s="87" t="s">
        <v>587</v>
      </c>
      <c r="C1521" s="87" t="s">
        <v>5570</v>
      </c>
      <c r="D1521" s="89">
        <v>1800</v>
      </c>
      <c r="E1521" s="88"/>
      <c r="F1521" s="88"/>
      <c r="G1521" s="87" t="str">
        <f t="shared" si="23"/>
        <v>218910200'= DIARIAS A PAGAR105000026614061197762</v>
      </c>
      <c r="H1521" s="87" t="str">
        <f>VLOOKUP(Tabela1[[#This Row],[CONCATENAR]],'Classificações - Demonstrações'!$A$5:$C$46003,2,)</f>
        <v>Outras Obrigações</v>
      </c>
      <c r="I1521" s="87"/>
    </row>
    <row r="1522" spans="1:9" ht="12.75" customHeight="1" x14ac:dyDescent="0.2">
      <c r="A1522" s="94" t="s">
        <v>5360</v>
      </c>
      <c r="B1522" s="87" t="s">
        <v>587</v>
      </c>
      <c r="C1522" s="87" t="s">
        <v>5685</v>
      </c>
      <c r="D1522" s="89">
        <v>0</v>
      </c>
      <c r="E1522" s="88"/>
      <c r="F1522" s="88"/>
      <c r="G1522" s="87" t="str">
        <f t="shared" si="23"/>
        <v>218910200'= DIARIAS A PAGAR105000026614075506754</v>
      </c>
      <c r="H1522" s="87" t="str">
        <f>VLOOKUP(Tabela1[[#This Row],[CONCATENAR]],'Classificações - Demonstrações'!$A$5:$C$46003,2,)</f>
        <v>Outras Obrigações</v>
      </c>
      <c r="I1522" s="87"/>
    </row>
    <row r="1523" spans="1:9" ht="12.75" customHeight="1" x14ac:dyDescent="0.2">
      <c r="A1523" s="94" t="s">
        <v>5360</v>
      </c>
      <c r="B1523" s="87" t="s">
        <v>587</v>
      </c>
      <c r="C1523" s="87" t="s">
        <v>4908</v>
      </c>
      <c r="D1523" s="89">
        <v>0</v>
      </c>
      <c r="E1523" s="88"/>
      <c r="F1523" s="88"/>
      <c r="G1523" s="87" t="str">
        <f t="shared" si="23"/>
        <v>218910200'= DIARIAS A PAGAR105000026614134212707</v>
      </c>
      <c r="H1523" s="87" t="str">
        <f>VLOOKUP(Tabela1[[#This Row],[CONCATENAR]],'Classificações - Demonstrações'!$A$5:$C$46003,2,)</f>
        <v>Outras Obrigações</v>
      </c>
      <c r="I1523" s="87"/>
    </row>
    <row r="1524" spans="1:9" ht="12.75" customHeight="1" x14ac:dyDescent="0.2">
      <c r="A1524" s="94" t="s">
        <v>5360</v>
      </c>
      <c r="B1524" s="87" t="s">
        <v>587</v>
      </c>
      <c r="C1524" s="87" t="s">
        <v>4909</v>
      </c>
      <c r="D1524" s="89">
        <v>0</v>
      </c>
      <c r="E1524" s="88"/>
      <c r="F1524" s="88"/>
      <c r="G1524" s="87" t="str">
        <f t="shared" si="23"/>
        <v>218910200'= DIARIAS A PAGAR105000026614445540773</v>
      </c>
      <c r="H1524" s="87" t="str">
        <f>VLOOKUP(Tabela1[[#This Row],[CONCATENAR]],'Classificações - Demonstrações'!$A$5:$C$46003,2,)</f>
        <v>Outras Obrigações</v>
      </c>
      <c r="I1524" s="87"/>
    </row>
    <row r="1525" spans="1:9" ht="12.75" customHeight="1" x14ac:dyDescent="0.2">
      <c r="A1525" s="94" t="s">
        <v>5360</v>
      </c>
      <c r="B1525" s="87" t="s">
        <v>587</v>
      </c>
      <c r="C1525" s="87" t="s">
        <v>4910</v>
      </c>
      <c r="D1525" s="89">
        <v>0</v>
      </c>
      <c r="E1525" s="88"/>
      <c r="F1525" s="88"/>
      <c r="G1525" s="87" t="str">
        <f t="shared" si="23"/>
        <v>218910200'= DIARIAS A PAGAR105000026614449976703</v>
      </c>
      <c r="H1525" s="87" t="str">
        <f>VLOOKUP(Tabela1[[#This Row],[CONCATENAR]],'Classificações - Demonstrações'!$A$5:$C$46003,2,)</f>
        <v>Outras Obrigações</v>
      </c>
      <c r="I1525" s="87"/>
    </row>
    <row r="1526" spans="1:9" ht="12.75" customHeight="1" x14ac:dyDescent="0.2">
      <c r="A1526" s="94" t="s">
        <v>5360</v>
      </c>
      <c r="B1526" s="87" t="s">
        <v>587</v>
      </c>
      <c r="C1526" s="87" t="s">
        <v>6343</v>
      </c>
      <c r="D1526" s="89">
        <v>0</v>
      </c>
      <c r="E1526" s="88"/>
      <c r="F1526" s="88"/>
      <c r="G1526" s="87" t="str">
        <f t="shared" si="23"/>
        <v>218910200'= DIARIAS A PAGAR105000026614455754776</v>
      </c>
      <c r="H1526" s="87" t="str">
        <f>VLOOKUP(Tabela1[[#This Row],[CONCATENAR]],'Classificações - Demonstrações'!$A$5:$C$46003,2,)</f>
        <v>Outras Obrigações</v>
      </c>
      <c r="I1526" s="87"/>
    </row>
    <row r="1527" spans="1:9" ht="12.75" customHeight="1" x14ac:dyDescent="0.2">
      <c r="A1527" s="94" t="s">
        <v>5360</v>
      </c>
      <c r="B1527" s="87" t="s">
        <v>587</v>
      </c>
      <c r="C1527" s="87" t="s">
        <v>4911</v>
      </c>
      <c r="D1527" s="89">
        <v>0</v>
      </c>
      <c r="E1527" s="88"/>
      <c r="F1527" s="88"/>
      <c r="G1527" s="87" t="str">
        <f t="shared" si="23"/>
        <v>218910200'= DIARIAS A PAGAR105000026614461291790</v>
      </c>
      <c r="H1527" s="87" t="str">
        <f>VLOOKUP(Tabela1[[#This Row],[CONCATENAR]],'Classificações - Demonstrações'!$A$5:$C$46003,2,)</f>
        <v>Outras Obrigações</v>
      </c>
      <c r="I1527" s="87"/>
    </row>
    <row r="1528" spans="1:9" ht="12.75" customHeight="1" x14ac:dyDescent="0.2">
      <c r="A1528" s="94" t="s">
        <v>5360</v>
      </c>
      <c r="B1528" s="87" t="s">
        <v>587</v>
      </c>
      <c r="C1528" s="87" t="s">
        <v>5822</v>
      </c>
      <c r="D1528" s="89">
        <v>0</v>
      </c>
      <c r="E1528" s="88"/>
      <c r="F1528" s="88"/>
      <c r="G1528" s="87" t="str">
        <f t="shared" si="23"/>
        <v>218910200'= DIARIAS A PAGAR105000026614483941712</v>
      </c>
      <c r="H1528" s="87" t="str">
        <f>VLOOKUP(Tabela1[[#This Row],[CONCATENAR]],'Classificações - Demonstrações'!$A$5:$C$46003,2,)</f>
        <v>Outras Obrigações</v>
      </c>
      <c r="I1528" s="87"/>
    </row>
    <row r="1529" spans="1:9" ht="12.75" customHeight="1" x14ac:dyDescent="0.2">
      <c r="A1529" s="94" t="s">
        <v>5360</v>
      </c>
      <c r="B1529" s="87" t="s">
        <v>587</v>
      </c>
      <c r="C1529" s="87" t="s">
        <v>4912</v>
      </c>
      <c r="D1529" s="89">
        <v>0</v>
      </c>
      <c r="E1529" s="88"/>
      <c r="F1529" s="88"/>
      <c r="G1529" s="87" t="str">
        <f t="shared" si="23"/>
        <v>218910200'= DIARIAS A PAGAR105000026614513251778</v>
      </c>
      <c r="H1529" s="87" t="str">
        <f>VLOOKUP(Tabela1[[#This Row],[CONCATENAR]],'Classificações - Demonstrações'!$A$5:$C$46003,2,)</f>
        <v>Outras Obrigações</v>
      </c>
      <c r="I1529" s="87"/>
    </row>
    <row r="1530" spans="1:9" ht="12.75" customHeight="1" x14ac:dyDescent="0.2">
      <c r="A1530" s="94" t="s">
        <v>5360</v>
      </c>
      <c r="B1530" s="87" t="s">
        <v>587</v>
      </c>
      <c r="C1530" s="87" t="s">
        <v>4913</v>
      </c>
      <c r="D1530" s="89">
        <v>0</v>
      </c>
      <c r="E1530" s="88"/>
      <c r="F1530" s="88"/>
      <c r="G1530" s="87" t="str">
        <f t="shared" si="23"/>
        <v>218910200'= DIARIAS A PAGAR105000026614515368796</v>
      </c>
      <c r="H1530" s="87" t="str">
        <f>VLOOKUP(Tabela1[[#This Row],[CONCATENAR]],'Classificações - Demonstrações'!$A$5:$C$46003,2,)</f>
        <v>Outras Obrigações</v>
      </c>
      <c r="I1530" s="87"/>
    </row>
    <row r="1531" spans="1:9" ht="12.75" customHeight="1" x14ac:dyDescent="0.2">
      <c r="A1531" s="94" t="s">
        <v>5360</v>
      </c>
      <c r="B1531" s="87" t="s">
        <v>587</v>
      </c>
      <c r="C1531" s="87" t="s">
        <v>4914</v>
      </c>
      <c r="D1531" s="89">
        <v>0</v>
      </c>
      <c r="E1531" s="88"/>
      <c r="F1531" s="88"/>
      <c r="G1531" s="87" t="str">
        <f t="shared" si="23"/>
        <v>218910200'= DIARIAS A PAGAR105000026614524145729</v>
      </c>
      <c r="H1531" s="87" t="str">
        <f>VLOOKUP(Tabela1[[#This Row],[CONCATENAR]],'Classificações - Demonstrações'!$A$5:$C$46003,2,)</f>
        <v>Outras Obrigações</v>
      </c>
      <c r="I1531" s="87"/>
    </row>
    <row r="1532" spans="1:9" ht="12.75" customHeight="1" x14ac:dyDescent="0.2">
      <c r="A1532" s="94" t="s">
        <v>5360</v>
      </c>
      <c r="B1532" s="87" t="s">
        <v>587</v>
      </c>
      <c r="C1532" s="87" t="s">
        <v>4915</v>
      </c>
      <c r="D1532" s="89">
        <v>0</v>
      </c>
      <c r="E1532" s="88"/>
      <c r="F1532" s="88"/>
      <c r="G1532" s="87" t="str">
        <f t="shared" si="23"/>
        <v>218910200'= DIARIAS A PAGAR105000026614624773721</v>
      </c>
      <c r="H1532" s="87" t="str">
        <f>VLOOKUP(Tabela1[[#This Row],[CONCATENAR]],'Classificações - Demonstrações'!$A$5:$C$46003,2,)</f>
        <v>Outras Obrigações</v>
      </c>
      <c r="I1532" s="87"/>
    </row>
    <row r="1533" spans="1:9" ht="12.75" customHeight="1" x14ac:dyDescent="0.2">
      <c r="A1533" s="94" t="s">
        <v>5360</v>
      </c>
      <c r="B1533" s="87" t="s">
        <v>587</v>
      </c>
      <c r="C1533" s="87" t="s">
        <v>5823</v>
      </c>
      <c r="D1533" s="89">
        <v>0</v>
      </c>
      <c r="E1533" s="88"/>
      <c r="F1533" s="88"/>
      <c r="G1533" s="87" t="str">
        <f t="shared" si="23"/>
        <v>218910200'= DIARIAS A PAGAR105000026631289472874</v>
      </c>
      <c r="H1533" s="87" t="str">
        <f>VLOOKUP(Tabela1[[#This Row],[CONCATENAR]],'Classificações - Demonstrações'!$A$5:$C$46003,2,)</f>
        <v>Outras Obrigações</v>
      </c>
      <c r="I1533" s="87"/>
    </row>
    <row r="1534" spans="1:9" ht="12.75" customHeight="1" x14ac:dyDescent="0.2">
      <c r="A1534" s="94" t="s">
        <v>5360</v>
      </c>
      <c r="B1534" s="87" t="s">
        <v>587</v>
      </c>
      <c r="C1534" s="87" t="s">
        <v>6344</v>
      </c>
      <c r="D1534" s="89">
        <v>0</v>
      </c>
      <c r="E1534" s="88"/>
      <c r="F1534" s="88"/>
      <c r="G1534" s="87" t="str">
        <f t="shared" si="23"/>
        <v>218910200'= DIARIAS A PAGAR105000026635593067600</v>
      </c>
      <c r="H1534" s="87" t="str">
        <f>VLOOKUP(Tabela1[[#This Row],[CONCATENAR]],'Classificações - Demonstrações'!$A$5:$C$46003,2,)</f>
        <v>Outras Obrigações</v>
      </c>
      <c r="I1534" s="87"/>
    </row>
    <row r="1535" spans="1:9" ht="12.75" customHeight="1" x14ac:dyDescent="0.2">
      <c r="A1535" s="94" t="s">
        <v>5360</v>
      </c>
      <c r="B1535" s="87" t="s">
        <v>587</v>
      </c>
      <c r="C1535" s="87" t="s">
        <v>4681</v>
      </c>
      <c r="D1535" s="89">
        <v>0</v>
      </c>
      <c r="E1535" s="88"/>
      <c r="F1535" s="88"/>
      <c r="G1535" s="87" t="str">
        <f t="shared" si="23"/>
        <v>218910200'= DIARIAS A PAGAR105000026646178325134</v>
      </c>
      <c r="H1535" s="87" t="str">
        <f>VLOOKUP(Tabela1[[#This Row],[CONCATENAR]],'Classificações - Demonstrações'!$A$5:$C$46003,2,)</f>
        <v>Outras Obrigações</v>
      </c>
      <c r="I1535" s="87"/>
    </row>
    <row r="1536" spans="1:9" ht="12.75" customHeight="1" x14ac:dyDescent="0.2">
      <c r="A1536" s="94" t="s">
        <v>5360</v>
      </c>
      <c r="B1536" s="87" t="s">
        <v>587</v>
      </c>
      <c r="C1536" s="87" t="s">
        <v>6345</v>
      </c>
      <c r="D1536" s="89">
        <v>0</v>
      </c>
      <c r="E1536" s="88"/>
      <c r="F1536" s="88"/>
      <c r="G1536" s="87" t="str">
        <f t="shared" si="23"/>
        <v>218910200'= DIARIAS A PAGAR105000026660777788772</v>
      </c>
      <c r="H1536" s="87" t="str">
        <f>VLOOKUP(Tabela1[[#This Row],[CONCATENAR]],'Classificações - Demonstrações'!$A$5:$C$46003,2,)</f>
        <v>Outras Obrigações</v>
      </c>
      <c r="I1536" s="87"/>
    </row>
    <row r="1537" spans="1:9" ht="12.75" customHeight="1" x14ac:dyDescent="0.2">
      <c r="A1537" s="94" t="s">
        <v>5360</v>
      </c>
      <c r="B1537" s="87" t="s">
        <v>587</v>
      </c>
      <c r="C1537" s="87" t="s">
        <v>4916</v>
      </c>
      <c r="D1537" s="89">
        <v>0</v>
      </c>
      <c r="E1537" s="88"/>
      <c r="F1537" s="88"/>
      <c r="G1537" s="87" t="str">
        <f t="shared" si="23"/>
        <v>218910200'= DIARIAS A PAGAR105000026664475867720</v>
      </c>
      <c r="H1537" s="87" t="str">
        <f>VLOOKUP(Tabela1[[#This Row],[CONCATENAR]],'Classificações - Demonstrações'!$A$5:$C$46003,2,)</f>
        <v>Outras Obrigações</v>
      </c>
      <c r="I1537" s="87"/>
    </row>
    <row r="1538" spans="1:9" ht="12.75" customHeight="1" x14ac:dyDescent="0.2">
      <c r="A1538" s="94" t="s">
        <v>5360</v>
      </c>
      <c r="B1538" s="87" t="s">
        <v>587</v>
      </c>
      <c r="C1538" s="87" t="s">
        <v>5571</v>
      </c>
      <c r="D1538" s="89">
        <v>0</v>
      </c>
      <c r="E1538" s="88"/>
      <c r="F1538" s="88"/>
      <c r="G1538" s="87" t="str">
        <f t="shared" si="23"/>
        <v>218910200'= DIARIAS A PAGAR105000026668122799787</v>
      </c>
      <c r="H1538" s="87" t="str">
        <f>VLOOKUP(Tabela1[[#This Row],[CONCATENAR]],'Classificações - Demonstrações'!$A$5:$C$46003,2,)</f>
        <v>Outras Obrigações</v>
      </c>
      <c r="I1538" s="87"/>
    </row>
    <row r="1539" spans="1:9" ht="12.75" customHeight="1" x14ac:dyDescent="0.2">
      <c r="A1539" s="94" t="s">
        <v>5360</v>
      </c>
      <c r="B1539" s="87" t="s">
        <v>587</v>
      </c>
      <c r="C1539" s="87" t="s">
        <v>6346</v>
      </c>
      <c r="D1539" s="89">
        <v>0</v>
      </c>
      <c r="E1539" s="88"/>
      <c r="F1539" s="88"/>
      <c r="G1539" s="87" t="str">
        <f t="shared" si="23"/>
        <v>218910200'= DIARIAS A PAGAR105000026678522471720</v>
      </c>
      <c r="H1539" s="87" t="str">
        <f>VLOOKUP(Tabela1[[#This Row],[CONCATENAR]],'Classificações - Demonstrações'!$A$5:$C$46003,2,)</f>
        <v>Outras Obrigações</v>
      </c>
      <c r="I1539" s="87"/>
    </row>
    <row r="1540" spans="1:9" ht="12.75" customHeight="1" x14ac:dyDescent="0.2">
      <c r="A1540" s="94" t="s">
        <v>5360</v>
      </c>
      <c r="B1540" s="87" t="s">
        <v>587</v>
      </c>
      <c r="C1540" s="87" t="s">
        <v>6347</v>
      </c>
      <c r="D1540" s="89">
        <v>0</v>
      </c>
      <c r="E1540" s="88"/>
      <c r="F1540" s="88"/>
      <c r="G1540" s="87" t="str">
        <f t="shared" si="23"/>
        <v>218910200'= DIARIAS A PAGAR105000026682438641720</v>
      </c>
      <c r="H1540" s="87" t="str">
        <f>VLOOKUP(Tabela1[[#This Row],[CONCATENAR]],'Classificações - Demonstrações'!$A$5:$C$46003,2,)</f>
        <v>Outras Obrigações</v>
      </c>
      <c r="I1540" s="87"/>
    </row>
    <row r="1541" spans="1:9" ht="12.75" customHeight="1" x14ac:dyDescent="0.2">
      <c r="A1541" s="94" t="s">
        <v>5360</v>
      </c>
      <c r="B1541" s="87" t="s">
        <v>587</v>
      </c>
      <c r="C1541" s="87" t="s">
        <v>6348</v>
      </c>
      <c r="D1541" s="89">
        <v>0</v>
      </c>
      <c r="E1541" s="88"/>
      <c r="F1541" s="88"/>
      <c r="G1541" s="87" t="str">
        <f t="shared" ref="G1541:G1604" si="24">CONCATENATE(A1541,B1541,C1541)</f>
        <v>218910200'= DIARIAS A PAGAR105000026686704702687</v>
      </c>
      <c r="H1541" s="87" t="str">
        <f>VLOOKUP(Tabela1[[#This Row],[CONCATENAR]],'Classificações - Demonstrações'!$A$5:$C$46003,2,)</f>
        <v>Outras Obrigações</v>
      </c>
      <c r="I1541" s="87"/>
    </row>
    <row r="1542" spans="1:9" ht="12.75" customHeight="1" x14ac:dyDescent="0.2">
      <c r="A1542" s="94" t="s">
        <v>5360</v>
      </c>
      <c r="B1542" s="87" t="s">
        <v>587</v>
      </c>
      <c r="C1542" s="87" t="s">
        <v>6349</v>
      </c>
      <c r="D1542" s="89">
        <v>0</v>
      </c>
      <c r="E1542" s="88"/>
      <c r="F1542" s="88"/>
      <c r="G1542" s="87" t="str">
        <f t="shared" si="24"/>
        <v>218910200'= DIARIAS A PAGAR105000026692708820710</v>
      </c>
      <c r="H1542" s="87" t="str">
        <f>VLOOKUP(Tabela1[[#This Row],[CONCATENAR]],'Classificações - Demonstrações'!$A$5:$C$46003,2,)</f>
        <v>Outras Obrigações</v>
      </c>
      <c r="I1542" s="87"/>
    </row>
    <row r="1543" spans="1:9" ht="12.75" customHeight="1" x14ac:dyDescent="0.2">
      <c r="A1543" s="94" t="s">
        <v>5360</v>
      </c>
      <c r="B1543" s="87" t="s">
        <v>587</v>
      </c>
      <c r="C1543" s="87" t="s">
        <v>4917</v>
      </c>
      <c r="D1543" s="89">
        <v>0</v>
      </c>
      <c r="E1543" s="88"/>
      <c r="F1543" s="88"/>
      <c r="G1543" s="87" t="str">
        <f t="shared" si="24"/>
        <v>218910200'= DIARIAS A PAGAR105000026696080558572</v>
      </c>
      <c r="H1543" s="87" t="str">
        <f>VLOOKUP(Tabela1[[#This Row],[CONCATENAR]],'Classificações - Demonstrações'!$A$5:$C$46003,2,)</f>
        <v>Outras Obrigações</v>
      </c>
      <c r="I1543" s="87"/>
    </row>
    <row r="1544" spans="1:9" ht="12.75" customHeight="1" x14ac:dyDescent="0.2">
      <c r="A1544" s="94" t="s">
        <v>5360</v>
      </c>
      <c r="B1544" s="87" t="s">
        <v>587</v>
      </c>
      <c r="C1544" s="87" t="s">
        <v>4918</v>
      </c>
      <c r="D1544" s="89">
        <v>0</v>
      </c>
      <c r="E1544" s="88"/>
      <c r="F1544" s="88"/>
      <c r="G1544" s="87" t="str">
        <f t="shared" si="24"/>
        <v>218910200'= DIARIAS A PAGAR105000026697503274700</v>
      </c>
      <c r="H1544" s="87" t="str">
        <f>VLOOKUP(Tabela1[[#This Row],[CONCATENAR]],'Classificações - Demonstrações'!$A$5:$C$46003,2,)</f>
        <v>Outras Obrigações</v>
      </c>
      <c r="I1544" s="87"/>
    </row>
    <row r="1545" spans="1:9" ht="12.75" customHeight="1" x14ac:dyDescent="0.2">
      <c r="A1545" s="94" t="s">
        <v>5360</v>
      </c>
      <c r="B1545" s="87" t="s">
        <v>587</v>
      </c>
      <c r="C1545" s="87" t="s">
        <v>431</v>
      </c>
      <c r="D1545" s="89">
        <v>1544</v>
      </c>
      <c r="E1545" s="88"/>
      <c r="F1545" s="88"/>
      <c r="G1545" s="87" t="str">
        <f t="shared" si="24"/>
        <v>218910200'= DIARIAS A PAGAR113208</v>
      </c>
      <c r="H1545" s="87" t="str">
        <f>VLOOKUP(Tabela1[[#This Row],[CONCATENAR]],'Classificações - Demonstrações'!$A$5:$C$46003,2,)</f>
        <v>Outras Obrigações</v>
      </c>
      <c r="I1545" s="87"/>
    </row>
    <row r="1546" spans="1:9" ht="12.75" customHeight="1" x14ac:dyDescent="0.2">
      <c r="A1546" s="94" t="s">
        <v>5364</v>
      </c>
      <c r="B1546" s="87" t="s">
        <v>662</v>
      </c>
      <c r="C1546" s="87" t="s">
        <v>2</v>
      </c>
      <c r="D1546" s="89">
        <v>0</v>
      </c>
      <c r="E1546" s="88"/>
      <c r="F1546" s="88"/>
      <c r="G1546" s="87" t="str">
        <f t="shared" si="24"/>
        <v>218910300'= SUPRIMENTOS DE FUNDOS A PAGAR105000026600000000000191</v>
      </c>
      <c r="H1546" s="87" t="str">
        <f>VLOOKUP(Tabela1[[#This Row],[CONCATENAR]],'Classificações - Demonstrações'!$A$5:$C$46003,2,)</f>
        <v>Outras Obrigações</v>
      </c>
      <c r="I1546" s="87"/>
    </row>
    <row r="1547" spans="1:9" ht="12.75" customHeight="1" x14ac:dyDescent="0.2">
      <c r="A1547" s="94" t="s">
        <v>5365</v>
      </c>
      <c r="B1547" s="87" t="s">
        <v>663</v>
      </c>
      <c r="C1547" s="87" t="s">
        <v>664</v>
      </c>
      <c r="D1547" s="89">
        <v>55529556.920000002</v>
      </c>
      <c r="E1547" s="88"/>
      <c r="F1547" s="88"/>
      <c r="G1547" s="87" t="str">
        <f t="shared" si="24"/>
        <v>218912800'= SUBVENCOES E DOACOES PARA INVESTIMENTOSFTATC2019</v>
      </c>
      <c r="H1547" s="87" t="str">
        <f>VLOOKUP(Tabela1[[#This Row],[CONCATENAR]],'Classificações - Demonstrações'!$A$5:$C$46003,2,)</f>
        <v>Receita de Subvenção a Realizar</v>
      </c>
      <c r="I1547" s="87"/>
    </row>
    <row r="1548" spans="1:9" ht="12.75" customHeight="1" x14ac:dyDescent="0.2">
      <c r="A1548" s="94" t="s">
        <v>5366</v>
      </c>
      <c r="B1548" s="87" t="s">
        <v>665</v>
      </c>
      <c r="C1548" s="87" t="s">
        <v>6350</v>
      </c>
      <c r="D1548" s="89">
        <v>0</v>
      </c>
      <c r="E1548" s="88"/>
      <c r="F1548" s="88"/>
      <c r="G1548" s="87" t="str">
        <f t="shared" si="24"/>
        <v>218913603'= ORDENS BANCARIAS CANCELADAS14919800002024OB006662</v>
      </c>
      <c r="H1548" s="87" t="str">
        <f>VLOOKUP(Tabela1[[#This Row],[CONCATENAR]],'Classificações - Demonstrações'!$A$5:$C$46003,2,)</f>
        <v>Outras Obrigações</v>
      </c>
      <c r="I1548" s="87"/>
    </row>
    <row r="1549" spans="1:9" ht="12.75" customHeight="1" x14ac:dyDescent="0.2">
      <c r="A1549" s="94" t="s">
        <v>5366</v>
      </c>
      <c r="B1549" s="87" t="s">
        <v>665</v>
      </c>
      <c r="C1549" s="87" t="s">
        <v>6351</v>
      </c>
      <c r="D1549" s="89">
        <v>0</v>
      </c>
      <c r="E1549" s="88"/>
      <c r="F1549" s="88"/>
      <c r="G1549" s="87" t="str">
        <f t="shared" si="24"/>
        <v>218913603'= ORDENS BANCARIAS CANCELADAS14919800002024OB006674</v>
      </c>
      <c r="H1549" s="87" t="str">
        <f>VLOOKUP(Tabela1[[#This Row],[CONCATENAR]],'Classificações - Demonstrações'!$A$5:$C$46003,2,)</f>
        <v>Outras Obrigações</v>
      </c>
      <c r="I1549" s="87"/>
    </row>
    <row r="1550" spans="1:9" ht="12.75" customHeight="1" x14ac:dyDescent="0.2">
      <c r="A1550" s="94" t="s">
        <v>5366</v>
      </c>
      <c r="B1550" s="87" t="s">
        <v>665</v>
      </c>
      <c r="C1550" s="87" t="s">
        <v>6352</v>
      </c>
      <c r="D1550" s="89">
        <v>0</v>
      </c>
      <c r="E1550" s="88"/>
      <c r="F1550" s="88"/>
      <c r="G1550" s="87" t="str">
        <f t="shared" si="24"/>
        <v>218913603'= ORDENS BANCARIAS CANCELADAS14919800002025OB001158</v>
      </c>
      <c r="H1550" s="87" t="str">
        <f>VLOOKUP(Tabela1[[#This Row],[CONCATENAR]],'Classificações - Demonstrações'!$A$5:$C$46003,2,)</f>
        <v>Outras Obrigações</v>
      </c>
      <c r="I1550" s="87"/>
    </row>
    <row r="1551" spans="1:9" ht="12.75" customHeight="1" x14ac:dyDescent="0.2">
      <c r="A1551" s="94" t="s">
        <v>5366</v>
      </c>
      <c r="B1551" s="87" t="s">
        <v>665</v>
      </c>
      <c r="C1551" s="87" t="s">
        <v>6353</v>
      </c>
      <c r="D1551" s="89">
        <v>0</v>
      </c>
      <c r="E1551" s="88"/>
      <c r="F1551" s="88"/>
      <c r="G1551" s="87" t="str">
        <f t="shared" si="24"/>
        <v>218913603'= ORDENS BANCARIAS CANCELADAS14919800002025OB001169</v>
      </c>
      <c r="H1551" s="87" t="str">
        <f>VLOOKUP(Tabela1[[#This Row],[CONCATENAR]],'Classificações - Demonstrações'!$A$5:$C$46003,2,)</f>
        <v>Outras Obrigações</v>
      </c>
      <c r="I1551" s="87"/>
    </row>
    <row r="1552" spans="1:9" ht="12.75" customHeight="1" x14ac:dyDescent="0.2">
      <c r="A1552" s="94" t="s">
        <v>5366</v>
      </c>
      <c r="B1552" s="87" t="s">
        <v>665</v>
      </c>
      <c r="C1552" s="87" t="s">
        <v>6354</v>
      </c>
      <c r="D1552" s="89">
        <v>0</v>
      </c>
      <c r="E1552" s="88"/>
      <c r="F1552" s="88"/>
      <c r="G1552" s="87" t="str">
        <f t="shared" si="24"/>
        <v>218913603'= ORDENS BANCARIAS CANCELADAS14919800002025OB001180</v>
      </c>
      <c r="H1552" s="87" t="str">
        <f>VLOOKUP(Tabela1[[#This Row],[CONCATENAR]],'Classificações - Demonstrações'!$A$5:$C$46003,2,)</f>
        <v>Outras Obrigações</v>
      </c>
      <c r="I1552" s="87"/>
    </row>
    <row r="1553" spans="1:9" ht="12.75" customHeight="1" x14ac:dyDescent="0.2">
      <c r="A1553" s="94" t="s">
        <v>5366</v>
      </c>
      <c r="B1553" s="87" t="s">
        <v>665</v>
      </c>
      <c r="C1553" s="87" t="s">
        <v>6355</v>
      </c>
      <c r="D1553" s="89">
        <v>0</v>
      </c>
      <c r="E1553" s="88"/>
      <c r="F1553" s="88"/>
      <c r="G1553" s="87" t="str">
        <f t="shared" si="24"/>
        <v>218913603'= ORDENS BANCARIAS CANCELADAS14919800052025OB000035</v>
      </c>
      <c r="H1553" s="87" t="str">
        <f>VLOOKUP(Tabela1[[#This Row],[CONCATENAR]],'Classificações - Demonstrações'!$A$5:$C$46003,2,)</f>
        <v>Outras Obrigações</v>
      </c>
      <c r="I1553" s="87"/>
    </row>
    <row r="1554" spans="1:9" ht="12.75" customHeight="1" x14ac:dyDescent="0.2">
      <c r="A1554" s="94" t="s">
        <v>5367</v>
      </c>
      <c r="B1554" s="87" t="s">
        <v>666</v>
      </c>
      <c r="C1554" s="87" t="s">
        <v>5661</v>
      </c>
      <c r="D1554" s="89">
        <v>231634333.28999999</v>
      </c>
      <c r="E1554" s="88"/>
      <c r="F1554" s="88"/>
      <c r="G1554" s="87" t="str">
        <f t="shared" si="24"/>
        <v>221410302'= CONTRIBUICAO A ENTIDADES DE PREVIDEN. COMPLEMPEPED2007</v>
      </c>
      <c r="H1554" s="87" t="str">
        <f>VLOOKUP(Tabela1[[#This Row],[CONCATENAR]],'Classificações - Demonstrações'!$A$5:$C$46003,2,)</f>
        <v>Previdência Privada -  NUCLEOS</v>
      </c>
      <c r="I1554" s="87"/>
    </row>
    <row r="1555" spans="1:9" ht="12.75" customHeight="1" x14ac:dyDescent="0.2">
      <c r="A1555" s="94" t="s">
        <v>5367</v>
      </c>
      <c r="B1555" s="87" t="s">
        <v>666</v>
      </c>
      <c r="C1555" s="87" t="s">
        <v>5662</v>
      </c>
      <c r="D1555" s="89">
        <v>35892593.93</v>
      </c>
      <c r="E1555" s="88"/>
      <c r="F1555" s="88"/>
      <c r="G1555" s="87" t="str">
        <f t="shared" si="24"/>
        <v>221410302'= CONTRIBUICAO A ENTIDADES DE PREVIDEN. COMPLEMPEPED2021</v>
      </c>
      <c r="H1555" s="87" t="str">
        <f>VLOOKUP(Tabela1[[#This Row],[CONCATENAR]],'Classificações - Demonstrações'!$A$5:$C$46003,2,)</f>
        <v>Previdência Privada -  NUCLEOS</v>
      </c>
      <c r="I1555" s="87"/>
    </row>
    <row r="1556" spans="1:9" ht="12.75" customHeight="1" x14ac:dyDescent="0.2">
      <c r="A1556" s="94" t="s">
        <v>5368</v>
      </c>
      <c r="B1556" s="87" t="s">
        <v>668</v>
      </c>
      <c r="C1556" s="87" t="s">
        <v>431</v>
      </c>
      <c r="D1556" s="89">
        <v>21027854.510000002</v>
      </c>
      <c r="E1556" s="88"/>
      <c r="F1556" s="88"/>
      <c r="G1556" s="87" t="str">
        <f t="shared" si="24"/>
        <v>227110100'= PROVISAO PARA INDENIZACOES TRABALHISTAS113208</v>
      </c>
      <c r="H1556" s="87" t="str">
        <f>VLOOKUP(Tabela1[[#This Row],[CONCATENAR]],'Classificações - Demonstrações'!$A$5:$C$46003,2,)</f>
        <v>Provisões - processos judiciais</v>
      </c>
      <c r="I1556" s="87"/>
    </row>
    <row r="1557" spans="1:9" ht="12.75" customHeight="1" x14ac:dyDescent="0.2">
      <c r="A1557" s="94" t="s">
        <v>5369</v>
      </c>
      <c r="B1557" s="87" t="s">
        <v>669</v>
      </c>
      <c r="C1557" s="87" t="s">
        <v>431</v>
      </c>
      <c r="D1557" s="89">
        <v>2903612.44</v>
      </c>
      <c r="E1557" s="88"/>
      <c r="F1557" s="88"/>
      <c r="G1557" s="87" t="str">
        <f t="shared" si="24"/>
        <v>227410100'= PROVISAO PARA INDENIZACOES CIVEIS113208</v>
      </c>
      <c r="H1557" s="87" t="str">
        <f>VLOOKUP(Tabela1[[#This Row],[CONCATENAR]],'Classificações - Demonstrações'!$A$5:$C$46003,2,)</f>
        <v>Provisões - processos judiciais</v>
      </c>
      <c r="I1557" s="87"/>
    </row>
    <row r="1558" spans="1:9" ht="12.75" customHeight="1" x14ac:dyDescent="0.2">
      <c r="A1558" s="94" t="s">
        <v>5370</v>
      </c>
      <c r="B1558" s="87" t="s">
        <v>663</v>
      </c>
      <c r="C1558" s="87" t="s">
        <v>667</v>
      </c>
      <c r="D1558" s="89">
        <v>1560162.45</v>
      </c>
      <c r="E1558" s="88"/>
      <c r="F1558" s="88"/>
      <c r="G1558" s="87" t="str">
        <f t="shared" si="24"/>
        <v>228912800'= SUBVENCOES E DOACOES PARA INVESTIMENTOS113206</v>
      </c>
      <c r="H1558" s="87" t="str">
        <f>VLOOKUP(Tabela1[[#This Row],[CONCATENAR]],'Classificações - Demonstrações'!$A$5:$C$46003,2,)</f>
        <v>Receita de subvenção a  realizar</v>
      </c>
      <c r="I1558" s="87"/>
    </row>
    <row r="1559" spans="1:9" ht="12.75" customHeight="1" x14ac:dyDescent="0.2">
      <c r="A1559" s="94" t="s">
        <v>5370</v>
      </c>
      <c r="B1559" s="87" t="s">
        <v>663</v>
      </c>
      <c r="C1559" s="87" t="s">
        <v>31</v>
      </c>
      <c r="D1559" s="89">
        <v>28565692.579999998</v>
      </c>
      <c r="E1559" s="88"/>
      <c r="F1559" s="88"/>
      <c r="G1559" s="87" t="str">
        <f t="shared" si="24"/>
        <v>228912800'= SUBVENCOES E DOACOES PARA INVESTIMENTOS789200</v>
      </c>
      <c r="H1559" s="87" t="str">
        <f>VLOOKUP(Tabela1[[#This Row],[CONCATENAR]],'Classificações - Demonstrações'!$A$5:$C$46003,2,)</f>
        <v>Receita de subvenção a  realizar</v>
      </c>
      <c r="I1559" s="87"/>
    </row>
    <row r="1560" spans="1:9" ht="12.75" customHeight="1" x14ac:dyDescent="0.2">
      <c r="A1560" s="94" t="s">
        <v>5370</v>
      </c>
      <c r="B1560" s="87" t="s">
        <v>663</v>
      </c>
      <c r="C1560" s="87" t="s">
        <v>365</v>
      </c>
      <c r="D1560" s="89">
        <v>29415347.800000001</v>
      </c>
      <c r="E1560" s="88"/>
      <c r="F1560" s="88"/>
      <c r="G1560" s="87" t="str">
        <f t="shared" si="24"/>
        <v>228912800'= SUBVENCOES E DOACOES PARA INVESTIMENTOSFT1050103</v>
      </c>
      <c r="H1560" s="87" t="str">
        <f>VLOOKUP(Tabela1[[#This Row],[CONCATENAR]],'Classificações - Demonstrações'!$A$5:$C$46003,2,)</f>
        <v>Receita de subvenção a  realizar</v>
      </c>
      <c r="I1560" s="87"/>
    </row>
    <row r="1561" spans="1:9" ht="12.75" customHeight="1" x14ac:dyDescent="0.2">
      <c r="A1561" s="94" t="s">
        <v>5370</v>
      </c>
      <c r="B1561" s="87" t="s">
        <v>663</v>
      </c>
      <c r="C1561" s="87" t="s">
        <v>670</v>
      </c>
      <c r="D1561" s="89">
        <v>25737255.289999999</v>
      </c>
      <c r="E1561" s="88"/>
      <c r="F1561" s="88"/>
      <c r="G1561" s="87" t="str">
        <f t="shared" si="24"/>
        <v>228912800'= SUBVENCOES E DOACOES PARA INVESTIMENTOSFTMAR2015</v>
      </c>
      <c r="H1561" s="87" t="str">
        <f>VLOOKUP(Tabela1[[#This Row],[CONCATENAR]],'Classificações - Demonstrações'!$A$5:$C$46003,2,)</f>
        <v>Receita de subvenção a  realizar</v>
      </c>
      <c r="I1561" s="87"/>
    </row>
    <row r="1562" spans="1:9" ht="12.75" customHeight="1" x14ac:dyDescent="0.2">
      <c r="A1562" s="94" t="s">
        <v>5370</v>
      </c>
      <c r="B1562" s="87" t="s">
        <v>663</v>
      </c>
      <c r="C1562" s="87" t="s">
        <v>419</v>
      </c>
      <c r="D1562" s="89">
        <v>1342403.22</v>
      </c>
      <c r="E1562" s="88"/>
      <c r="F1562" s="88"/>
      <c r="G1562" s="87" t="str">
        <f t="shared" si="24"/>
        <v>228912800'= SUBVENCOES E DOACOES PARA INVESTIMENTOSIS1241001</v>
      </c>
      <c r="H1562" s="87" t="str">
        <f>VLOOKUP(Tabela1[[#This Row],[CONCATENAR]],'Classificações - Demonstrações'!$A$5:$C$46003,2,)</f>
        <v>Receita de subvenção a  realizar</v>
      </c>
      <c r="I1562" s="87"/>
    </row>
    <row r="1563" spans="1:9" ht="12.75" customHeight="1" x14ac:dyDescent="0.2">
      <c r="A1563" s="94" t="s">
        <v>5370</v>
      </c>
      <c r="B1563" s="87" t="s">
        <v>663</v>
      </c>
      <c r="C1563" s="87" t="s">
        <v>671</v>
      </c>
      <c r="D1563" s="89">
        <v>12820917.24</v>
      </c>
      <c r="E1563" s="88"/>
      <c r="F1563" s="88"/>
      <c r="G1563" s="87" t="str">
        <f t="shared" si="24"/>
        <v>228912800'= SUBVENCOES E DOACOES PARA INVESTIMENTOSPA2019DEZ</v>
      </c>
      <c r="H1563" s="87" t="str">
        <f>VLOOKUP(Tabela1[[#This Row],[CONCATENAR]],'Classificações - Demonstrações'!$A$5:$C$46003,2,)</f>
        <v>Receita de subvenção a  realizar</v>
      </c>
      <c r="I1563" s="87"/>
    </row>
    <row r="1564" spans="1:9" ht="12.75" customHeight="1" x14ac:dyDescent="0.2">
      <c r="A1564" s="94" t="s">
        <v>5370</v>
      </c>
      <c r="B1564" s="87" t="s">
        <v>663</v>
      </c>
      <c r="C1564" s="87" t="s">
        <v>43</v>
      </c>
      <c r="D1564" s="89">
        <v>27133273.109999999</v>
      </c>
      <c r="E1564" s="88"/>
      <c r="F1564" s="88"/>
      <c r="G1564" s="87" t="str">
        <f t="shared" si="24"/>
        <v>228912800'= SUBVENCOES E DOACOES PARA INVESTIMENTOSPF9999905</v>
      </c>
      <c r="H1564" s="87" t="str">
        <f>VLOOKUP(Tabela1[[#This Row],[CONCATENAR]],'Classificações - Demonstrações'!$A$5:$C$46003,2,)</f>
        <v>Receita de subvenção a  realizar</v>
      </c>
      <c r="I1564" s="87"/>
    </row>
    <row r="1565" spans="1:9" ht="12.75" customHeight="1" x14ac:dyDescent="0.2">
      <c r="A1565" s="94" t="s">
        <v>5371</v>
      </c>
      <c r="B1565" s="87" t="s">
        <v>672</v>
      </c>
      <c r="C1565" s="87" t="s">
        <v>319</v>
      </c>
      <c r="D1565" s="89">
        <v>183523810</v>
      </c>
      <c r="E1565" s="88"/>
      <c r="F1565" s="88"/>
      <c r="G1565" s="87" t="str">
        <f t="shared" si="24"/>
        <v>231220100CAPITAL SOCIAL SUBSCRITO - INTRA OFSSSEM INFORMACAO</v>
      </c>
      <c r="H1565" s="87" t="str">
        <f>VLOOKUP(Tabela1[[#This Row],[CONCATENAR]],'Classificações - Demonstrações'!$A$5:$C$46003,2,)</f>
        <v>Capital Social</v>
      </c>
      <c r="I1565" s="87"/>
    </row>
    <row r="1566" spans="1:9" ht="12.75" customHeight="1" x14ac:dyDescent="0.2">
      <c r="A1566" s="94" t="s">
        <v>5372</v>
      </c>
      <c r="B1566" s="87" t="s">
        <v>673</v>
      </c>
      <c r="C1566" s="87" t="s">
        <v>319</v>
      </c>
      <c r="D1566" s="89">
        <v>-122313810</v>
      </c>
      <c r="E1566" s="88"/>
      <c r="F1566" s="88"/>
      <c r="G1566" s="87" t="str">
        <f t="shared" si="24"/>
        <v>231220200* CAPITAL SOCIAL A REALIZAR - INTRA OFSSSEM INFORMACAO</v>
      </c>
      <c r="H1566" s="87" t="str">
        <f>VLOOKUP(Tabela1[[#This Row],[CONCATENAR]],'Classificações - Demonstrações'!$A$5:$C$46003,2,)</f>
        <v>Capital Social</v>
      </c>
      <c r="I1566" s="87"/>
    </row>
    <row r="1567" spans="1:9" ht="12.75" customHeight="1" x14ac:dyDescent="0.2">
      <c r="A1567" s="94" t="s">
        <v>5373</v>
      </c>
      <c r="B1567" s="87" t="s">
        <v>674</v>
      </c>
      <c r="C1567" s="87" t="s">
        <v>319</v>
      </c>
      <c r="D1567" s="89">
        <v>1903786.33</v>
      </c>
      <c r="E1567" s="88"/>
      <c r="F1567" s="88"/>
      <c r="G1567" s="87" t="str">
        <f t="shared" si="24"/>
        <v>232120000ADIANTAMENTO PARA FUTURO AUMENTO DE CAPITALSEM INFORMACAO</v>
      </c>
      <c r="H1567" s="87" t="str">
        <f>VLOOKUP(Tabela1[[#This Row],[CONCATENAR]],'Classificações - Demonstrações'!$A$5:$C$46003,2,)</f>
        <v>Adiantamento para Futuro Aumento de Capital</v>
      </c>
      <c r="I1567" s="87"/>
    </row>
    <row r="1568" spans="1:9" ht="12.75" customHeight="1" x14ac:dyDescent="0.2">
      <c r="A1568" s="94" t="s">
        <v>5374</v>
      </c>
      <c r="B1568" s="87" t="s">
        <v>675</v>
      </c>
      <c r="C1568" s="87" t="s">
        <v>396</v>
      </c>
      <c r="D1568" s="89">
        <v>159863955.33000001</v>
      </c>
      <c r="E1568" s="88"/>
      <c r="F1568" s="88"/>
      <c r="G1568" s="87" t="str">
        <f t="shared" si="24"/>
        <v>234120000'= AJUSTES DE AVALIACAO PATRIMONIAL DE ATIVOS999</v>
      </c>
      <c r="H1568" s="87" t="str">
        <f>VLOOKUP(Tabela1[[#This Row],[CONCATENAR]],'Classificações - Demonstrações'!$A$5:$C$46003,2,)</f>
        <v>Ajuste de avaliação patrimonial</v>
      </c>
      <c r="I1568" s="87"/>
    </row>
    <row r="1569" spans="1:9" ht="12.75" customHeight="1" x14ac:dyDescent="0.2">
      <c r="A1569" s="94" t="s">
        <v>5375</v>
      </c>
      <c r="B1569" s="87" t="s">
        <v>676</v>
      </c>
      <c r="C1569" s="87" t="s">
        <v>677</v>
      </c>
      <c r="D1569" s="89">
        <f>14299996.27-102606.77</f>
        <v>14197389.5</v>
      </c>
      <c r="E1569" s="88"/>
      <c r="F1569" s="88"/>
      <c r="G1569" s="87" t="str">
        <f t="shared" si="24"/>
        <v>236120100'= REAVALIACAO DE BENS IMOVEIS123210298</v>
      </c>
      <c r="H1569" s="87" t="str">
        <f>VLOOKUP(Tabela1[[#This Row],[CONCATENAR]],'Classificações - Demonstrações'!$A$5:$C$46003,2,)</f>
        <v>Reserva de reavaliação</v>
      </c>
      <c r="I1569" s="87"/>
    </row>
    <row r="1570" spans="1:9" ht="12.75" customHeight="1" x14ac:dyDescent="0.2">
      <c r="A1570" s="94" t="s">
        <v>5376</v>
      </c>
      <c r="B1570" s="87" t="s">
        <v>678</v>
      </c>
      <c r="C1570" s="87" t="s">
        <v>319</v>
      </c>
      <c r="D1570" s="89">
        <f>-189351073.92+102606.77</f>
        <v>-189248467.14999998</v>
      </c>
      <c r="E1570" s="88"/>
      <c r="F1570" s="88"/>
      <c r="G1570" s="87" t="str">
        <f t="shared" si="24"/>
        <v>237220200LUCROS E PREJUIZOS ACUMULADOS DE EXERC ANTERISEM INFORMACAO</v>
      </c>
      <c r="H1570" s="87" t="str">
        <f>VLOOKUP(Tabela1[[#This Row],[CONCATENAR]],'Classificações - Demonstrações'!$A$5:$C$46003,2,)</f>
        <v>Prejuízos Acumulados</v>
      </c>
      <c r="I1570" s="87"/>
    </row>
    <row r="1571" spans="1:9" ht="12.75" customHeight="1" x14ac:dyDescent="0.2">
      <c r="A1571" s="94" t="s">
        <v>5377</v>
      </c>
      <c r="B1571" s="87" t="s">
        <v>679</v>
      </c>
      <c r="C1571" s="87" t="s">
        <v>319</v>
      </c>
      <c r="D1571" s="89">
        <v>209071556.83000001</v>
      </c>
      <c r="E1571" s="88"/>
      <c r="F1571" s="88"/>
      <c r="G1571" s="87" t="str">
        <f t="shared" si="24"/>
        <v>237220300AJUSTES DE EXERCICIOS ANTERIORESSEM INFORMACAO</v>
      </c>
      <c r="H1571" s="87" t="str">
        <f>VLOOKUP(Tabela1[[#This Row],[CONCATENAR]],'Classificações - Demonstrações'!$A$5:$C$46003,2,)</f>
        <v>Prejuízos Acumulados</v>
      </c>
      <c r="I1571" s="87"/>
    </row>
    <row r="1572" spans="1:9" ht="12.75" customHeight="1" x14ac:dyDescent="0.2">
      <c r="A1572" s="94" t="s">
        <v>6356</v>
      </c>
      <c r="B1572" s="87" t="s">
        <v>680</v>
      </c>
      <c r="C1572" s="87" t="s">
        <v>319</v>
      </c>
      <c r="D1572" s="89">
        <v>0</v>
      </c>
      <c r="E1572" s="88"/>
      <c r="F1572" s="88"/>
      <c r="G1572" s="87" t="str">
        <f t="shared" si="24"/>
        <v>311110100VENCIMENTOS E SALARIOSSEM INFORMACAO</v>
      </c>
      <c r="H1572" s="87" t="str">
        <f>VLOOKUP(Tabela1[[#This Row],[CONCATENAR]],'Classificações - Demonstrações'!$A$5:$C$46003,2,)</f>
        <v>Despesas Administrativas - Pessoal</v>
      </c>
      <c r="I1572" s="87"/>
    </row>
    <row r="1573" spans="1:9" ht="12.75" customHeight="1" x14ac:dyDescent="0.2">
      <c r="A1573" s="94" t="s">
        <v>5378</v>
      </c>
      <c r="B1573" s="87" t="s">
        <v>680</v>
      </c>
      <c r="C1573" s="87" t="s">
        <v>319</v>
      </c>
      <c r="D1573" s="89">
        <v>-19417380.539999999</v>
      </c>
      <c r="E1573" s="88"/>
      <c r="F1573" s="88"/>
      <c r="G1573" s="87" t="str">
        <f t="shared" si="24"/>
        <v>311210100VENCIMENTOS E SALARIOSSEM INFORMACAO</v>
      </c>
      <c r="H1573" s="87" t="str">
        <f>VLOOKUP(Tabela1[[#This Row],[CONCATENAR]],'Classificações - Demonstrações'!$A$5:$C$46003,2,)</f>
        <v>Despesas Administrativas - Pessoal</v>
      </c>
      <c r="I1573" s="87"/>
    </row>
    <row r="1574" spans="1:9" ht="12.75" customHeight="1" x14ac:dyDescent="0.2">
      <c r="A1574" s="94" t="s">
        <v>5379</v>
      </c>
      <c r="B1574" s="87" t="s">
        <v>681</v>
      </c>
      <c r="C1574" s="87" t="s">
        <v>319</v>
      </c>
      <c r="D1574" s="89">
        <v>-2696747.62</v>
      </c>
      <c r="E1574" s="88"/>
      <c r="F1574" s="88"/>
      <c r="G1574" s="87" t="str">
        <f t="shared" si="24"/>
        <v>311210300ADICIONAISSEM INFORMACAO</v>
      </c>
      <c r="H1574" s="87" t="str">
        <f>VLOOKUP(Tabela1[[#This Row],[CONCATENAR]],'Classificações - Demonstrações'!$A$5:$C$46003,2,)</f>
        <v>Despesas Administrativas - Pessoal</v>
      </c>
      <c r="I1574" s="87"/>
    </row>
    <row r="1575" spans="1:9" ht="12.75" customHeight="1" x14ac:dyDescent="0.2">
      <c r="A1575" s="94" t="s">
        <v>5380</v>
      </c>
      <c r="B1575" s="87" t="s">
        <v>682</v>
      </c>
      <c r="C1575" s="87" t="s">
        <v>319</v>
      </c>
      <c r="D1575" s="89">
        <v>-9789390.75</v>
      </c>
      <c r="E1575" s="88"/>
      <c r="F1575" s="88"/>
      <c r="G1575" s="87" t="str">
        <f t="shared" si="24"/>
        <v>311210400GRATIFICACOESSEM INFORMACAO</v>
      </c>
      <c r="H1575" s="87" t="str">
        <f>VLOOKUP(Tabela1[[#This Row],[CONCATENAR]],'Classificações - Demonstrações'!$A$5:$C$46003,2,)</f>
        <v>Despesas Administrativas - Pessoal</v>
      </c>
      <c r="I1575" s="87"/>
    </row>
    <row r="1576" spans="1:9" ht="12.75" customHeight="1" x14ac:dyDescent="0.2">
      <c r="A1576" s="94" t="s">
        <v>5381</v>
      </c>
      <c r="B1576" s="87" t="s">
        <v>683</v>
      </c>
      <c r="C1576" s="87" t="s">
        <v>319</v>
      </c>
      <c r="D1576" s="89">
        <v>-1622200.26</v>
      </c>
      <c r="E1576" s="88"/>
      <c r="F1576" s="88"/>
      <c r="G1576" s="87" t="str">
        <f t="shared" si="24"/>
        <v>311210500FERIAS - RGPSSEM INFORMACAO</v>
      </c>
      <c r="H1576" s="87" t="str">
        <f>VLOOKUP(Tabela1[[#This Row],[CONCATENAR]],'Classificações - Demonstrações'!$A$5:$C$46003,2,)</f>
        <v>Despesas Administrativas - Pessoal</v>
      </c>
      <c r="I1576" s="87"/>
    </row>
    <row r="1577" spans="1:9" ht="12.75" customHeight="1" x14ac:dyDescent="0.2">
      <c r="A1577" s="94" t="s">
        <v>5382</v>
      </c>
      <c r="B1577" s="87" t="s">
        <v>684</v>
      </c>
      <c r="C1577" s="87" t="s">
        <v>319</v>
      </c>
      <c r="D1577" s="89">
        <v>-4138259.71</v>
      </c>
      <c r="E1577" s="88"/>
      <c r="F1577" s="88"/>
      <c r="G1577" s="87" t="str">
        <f t="shared" si="24"/>
        <v>31121060013. SALARIO - RGPSSEM INFORMACAO</v>
      </c>
      <c r="H1577" s="87" t="str">
        <f>VLOOKUP(Tabela1[[#This Row],[CONCATENAR]],'Classificações - Demonstrações'!$A$5:$C$46003,2,)</f>
        <v>Despesas Administrativas - Pessoal</v>
      </c>
      <c r="I1577" s="87"/>
    </row>
    <row r="1578" spans="1:9" ht="12.75" customHeight="1" x14ac:dyDescent="0.2">
      <c r="A1578" s="94" t="s">
        <v>5383</v>
      </c>
      <c r="B1578" s="87" t="s">
        <v>685</v>
      </c>
      <c r="C1578" s="87" t="s">
        <v>319</v>
      </c>
      <c r="D1578" s="89">
        <v>-6821037.3499999996</v>
      </c>
      <c r="E1578" s="88"/>
      <c r="F1578" s="88"/>
      <c r="G1578" s="87" t="str">
        <f t="shared" si="24"/>
        <v>312220100CONTRIBUICOES PREVIDENCIARIAS - INSSSEM INFORMACAO</v>
      </c>
      <c r="H1578" s="87" t="str">
        <f>VLOOKUP(Tabela1[[#This Row],[CONCATENAR]],'Classificações - Demonstrações'!$A$5:$C$46003,2,)</f>
        <v>Despesas Administrativas - Encargos</v>
      </c>
      <c r="I1578" s="87"/>
    </row>
    <row r="1579" spans="1:9" ht="12.75" customHeight="1" x14ac:dyDescent="0.2">
      <c r="A1579" s="94" t="s">
        <v>5384</v>
      </c>
      <c r="B1579" s="87" t="s">
        <v>686</v>
      </c>
      <c r="C1579" s="87" t="s">
        <v>319</v>
      </c>
      <c r="D1579" s="89">
        <v>-1663939.64</v>
      </c>
      <c r="E1579" s="88"/>
      <c r="F1579" s="88"/>
      <c r="G1579" s="87" t="str">
        <f t="shared" si="24"/>
        <v>312310100FGTSSEM INFORMACAO</v>
      </c>
      <c r="H1579" s="87" t="str">
        <f>VLOOKUP(Tabela1[[#This Row],[CONCATENAR]],'Classificações - Demonstrações'!$A$5:$C$46003,2,)</f>
        <v>Despesas Administrativas - Encargos</v>
      </c>
      <c r="I1579" s="87"/>
    </row>
    <row r="1580" spans="1:9" ht="12.75" customHeight="1" x14ac:dyDescent="0.2">
      <c r="A1580" s="94" t="s">
        <v>5385</v>
      </c>
      <c r="B1580" s="87" t="s">
        <v>687</v>
      </c>
      <c r="C1580" s="87" t="s">
        <v>319</v>
      </c>
      <c r="D1580" s="89">
        <v>-824511.79</v>
      </c>
      <c r="E1580" s="88"/>
      <c r="F1580" s="88"/>
      <c r="G1580" s="87" t="str">
        <f t="shared" si="24"/>
        <v>312410100SESI/SENAI/SESC/SENAC/SEBRAE - ATIVO CIVILSEM INFORMACAO</v>
      </c>
      <c r="H1580" s="87" t="str">
        <f>VLOOKUP(Tabela1[[#This Row],[CONCATENAR]],'Classificações - Demonstrações'!$A$5:$C$46003,2,)</f>
        <v>Despesas Administrativas - Encargos</v>
      </c>
      <c r="I1580" s="87"/>
    </row>
    <row r="1581" spans="1:9" ht="12.75" customHeight="1" x14ac:dyDescent="0.2">
      <c r="A1581" s="94" t="s">
        <v>5386</v>
      </c>
      <c r="B1581" s="87" t="s">
        <v>688</v>
      </c>
      <c r="C1581" s="87" t="s">
        <v>319</v>
      </c>
      <c r="D1581" s="89">
        <v>-9755661.6099999994</v>
      </c>
      <c r="E1581" s="88"/>
      <c r="F1581" s="88"/>
      <c r="G1581" s="87" t="str">
        <f t="shared" si="24"/>
        <v>312510100COMPLEMENTACAO DE PREVIDENCIASEM INFORMACAO</v>
      </c>
      <c r="H1581" s="87" t="str">
        <f>VLOOKUP(Tabela1[[#This Row],[CONCATENAR]],'Classificações - Demonstrações'!$A$5:$C$46003,2,)</f>
        <v>Despesas Administrativas - Previdência Privada</v>
      </c>
      <c r="I1581" s="87"/>
    </row>
    <row r="1582" spans="1:9" ht="12.75" customHeight="1" x14ac:dyDescent="0.2">
      <c r="A1582" s="94" t="s">
        <v>5387</v>
      </c>
      <c r="B1582" s="87" t="s">
        <v>689</v>
      </c>
      <c r="C1582" s="87" t="s">
        <v>319</v>
      </c>
      <c r="D1582" s="89">
        <v>-384134.63</v>
      </c>
      <c r="E1582" s="88"/>
      <c r="F1582" s="88"/>
      <c r="G1582" s="87" t="str">
        <f t="shared" si="24"/>
        <v>313110100AUXILIO ALIMENTACAOSEM INFORMACAO</v>
      </c>
      <c r="H1582" s="87" t="str">
        <f>VLOOKUP(Tabela1[[#This Row],[CONCATENAR]],'Classificações - Demonstrações'!$A$5:$C$46003,2,)</f>
        <v>Despesas Administrativas - Pessoal</v>
      </c>
      <c r="I1582" s="87"/>
    </row>
    <row r="1583" spans="1:9" ht="12.75" customHeight="1" x14ac:dyDescent="0.2">
      <c r="A1583" s="94" t="s">
        <v>5388</v>
      </c>
      <c r="B1583" s="87" t="s">
        <v>5046</v>
      </c>
      <c r="C1583" s="87" t="s">
        <v>319</v>
      </c>
      <c r="D1583" s="89">
        <v>-10736.22</v>
      </c>
      <c r="E1583" s="88"/>
      <c r="F1583" s="88"/>
      <c r="G1583" s="87" t="str">
        <f t="shared" si="24"/>
        <v>313210300AUXILIO MORADIA - RGPSSEM INFORMACAO</v>
      </c>
      <c r="H1583" s="87" t="str">
        <f>VLOOKUP(Tabela1[[#This Row],[CONCATENAR]],'Classificações - Demonstrações'!$A$5:$C$46003,2,)</f>
        <v>Despesas Administrativas - Pessoal</v>
      </c>
      <c r="I1583" s="87"/>
    </row>
    <row r="1584" spans="1:9" ht="12.75" customHeight="1" x14ac:dyDescent="0.2">
      <c r="A1584" s="94" t="s">
        <v>5389</v>
      </c>
      <c r="B1584" s="87" t="s">
        <v>690</v>
      </c>
      <c r="C1584" s="87" t="s">
        <v>319</v>
      </c>
      <c r="D1584" s="89">
        <v>-172056</v>
      </c>
      <c r="E1584" s="88"/>
      <c r="F1584" s="88"/>
      <c r="G1584" s="87" t="str">
        <f t="shared" si="24"/>
        <v>313210600AUXILIO CRECHESEM INFORMACAO</v>
      </c>
      <c r="H1584" s="87" t="str">
        <f>VLOOKUP(Tabela1[[#This Row],[CONCATENAR]],'Classificações - Demonstrações'!$A$5:$C$46003,2,)</f>
        <v>Despesas Administrativas - Pessoal</v>
      </c>
      <c r="I1584" s="87"/>
    </row>
    <row r="1585" spans="1:9" ht="12.75" customHeight="1" x14ac:dyDescent="0.2">
      <c r="A1585" s="94" t="s">
        <v>5390</v>
      </c>
      <c r="B1585" s="87" t="s">
        <v>5155</v>
      </c>
      <c r="C1585" s="87" t="s">
        <v>319</v>
      </c>
      <c r="D1585" s="89">
        <v>-3238.4</v>
      </c>
      <c r="E1585" s="88"/>
      <c r="F1585" s="88"/>
      <c r="G1585" s="87" t="str">
        <f t="shared" si="24"/>
        <v>313219900OUTROS BENEFICIOS A PESSOAL - RGPSSEM INFORMACAO</v>
      </c>
      <c r="H1585" s="87" t="str">
        <f>VLOOKUP(Tabela1[[#This Row],[CONCATENAR]],'Classificações - Demonstrações'!$A$5:$C$46003,2,)</f>
        <v>Despesas Administrativas - Pessoal</v>
      </c>
      <c r="I1585" s="87"/>
    </row>
    <row r="1586" spans="1:9" ht="12.75" customHeight="1" x14ac:dyDescent="0.2">
      <c r="A1586" s="94" t="s">
        <v>5391</v>
      </c>
      <c r="B1586" s="87" t="s">
        <v>691</v>
      </c>
      <c r="C1586" s="87" t="s">
        <v>319</v>
      </c>
      <c r="D1586" s="89">
        <v>-258721.21</v>
      </c>
      <c r="E1586" s="88"/>
      <c r="F1586" s="88"/>
      <c r="G1586" s="87" t="str">
        <f t="shared" si="24"/>
        <v>319110100INDENIZACOES E RESTITUICOES TRABALHISTASSEM INFORMACAO</v>
      </c>
      <c r="H1586" s="87" t="str">
        <f>VLOOKUP(Tabela1[[#This Row],[CONCATENAR]],'Classificações - Demonstrações'!$A$5:$C$46003,2,)</f>
        <v>Despesas Administrativas - Indenizações e Encargos</v>
      </c>
      <c r="I1586" s="87"/>
    </row>
    <row r="1587" spans="1:9" ht="12.75" customHeight="1" x14ac:dyDescent="0.2">
      <c r="A1587" s="94" t="s">
        <v>5392</v>
      </c>
      <c r="B1587" s="87" t="s">
        <v>692</v>
      </c>
      <c r="C1587" s="87" t="s">
        <v>319</v>
      </c>
      <c r="D1587" s="89">
        <v>-1190646.94</v>
      </c>
      <c r="E1587" s="88"/>
      <c r="F1587" s="88"/>
      <c r="G1587" s="87" t="str">
        <f t="shared" si="24"/>
        <v>331110100CONSUMO DE MATERIAIS ESTOCADOS - ALMOXARIFADOSEM INFORMACAO</v>
      </c>
      <c r="H1587" s="87" t="str">
        <f>VLOOKUP(Tabela1[[#This Row],[CONCATENAR]],'Classificações - Demonstrações'!$A$5:$C$46003,2,)</f>
        <v>Despesas Administrativas - Serviços e Materiais</v>
      </c>
      <c r="I1587" s="87"/>
    </row>
    <row r="1588" spans="1:9" ht="12.75" customHeight="1" x14ac:dyDescent="0.2">
      <c r="A1588" s="94" t="s">
        <v>5393</v>
      </c>
      <c r="B1588" s="87" t="s">
        <v>693</v>
      </c>
      <c r="C1588" s="87" t="s">
        <v>319</v>
      </c>
      <c r="D1588" s="89">
        <v>-3988.91</v>
      </c>
      <c r="E1588" s="88"/>
      <c r="F1588" s="88"/>
      <c r="G1588" s="87" t="str">
        <f t="shared" si="24"/>
        <v>331110500CONSUMO DE MATERIAL DE PROCESSAMENTO DE DADOSSEM INFORMACAO</v>
      </c>
      <c r="H1588" s="87" t="str">
        <f>VLOOKUP(Tabela1[[#This Row],[CONCATENAR]],'Classificações - Demonstrações'!$A$5:$C$46003,2,)</f>
        <v>Despesas Administrativas - Serviços e Materiais</v>
      </c>
      <c r="I1588" s="87"/>
    </row>
    <row r="1589" spans="1:9" ht="12.75" customHeight="1" x14ac:dyDescent="0.2">
      <c r="A1589" s="94" t="s">
        <v>5394</v>
      </c>
      <c r="B1589" s="87" t="s">
        <v>694</v>
      </c>
      <c r="C1589" s="87" t="s">
        <v>319</v>
      </c>
      <c r="D1589" s="89">
        <v>-1032.02</v>
      </c>
      <c r="E1589" s="88"/>
      <c r="F1589" s="88"/>
      <c r="G1589" s="87" t="str">
        <f t="shared" si="24"/>
        <v>331110700CONSUMO DE MATERIAL HOSPITALARSEM INFORMACAO</v>
      </c>
      <c r="H1589" s="87" t="str">
        <f>VLOOKUP(Tabela1[[#This Row],[CONCATENAR]],'Classificações - Demonstrações'!$A$5:$C$46003,2,)</f>
        <v>Despesas Administrativas - Serviços e Materiais</v>
      </c>
      <c r="I1589" s="87"/>
    </row>
    <row r="1590" spans="1:9" ht="12.75" customHeight="1" x14ac:dyDescent="0.2">
      <c r="A1590" s="94" t="s">
        <v>5395</v>
      </c>
      <c r="B1590" s="87" t="s">
        <v>4682</v>
      </c>
      <c r="C1590" s="87" t="s">
        <v>319</v>
      </c>
      <c r="D1590" s="89">
        <v>-859499.56</v>
      </c>
      <c r="E1590" s="88"/>
      <c r="F1590" s="88"/>
      <c r="G1590" s="87" t="str">
        <f t="shared" si="24"/>
        <v>331110800CONSUMO DE MATERIAL PARA PRODUCAO INDUSTRIALSEM INFORMACAO</v>
      </c>
      <c r="H1590" s="87" t="str">
        <f>VLOOKUP(Tabela1[[#This Row],[CONCATENAR]],'Classificações - Demonstrações'!$A$5:$C$46003,2,)</f>
        <v>Despesas Administrativas - Serviços e Materiais</v>
      </c>
      <c r="I1590" s="87"/>
    </row>
    <row r="1591" spans="1:9" ht="12.75" customHeight="1" x14ac:dyDescent="0.2">
      <c r="A1591" s="94" t="s">
        <v>6357</v>
      </c>
      <c r="B1591" s="87" t="s">
        <v>6358</v>
      </c>
      <c r="C1591" s="87" t="s">
        <v>319</v>
      </c>
      <c r="D1591" s="89">
        <v>-24320</v>
      </c>
      <c r="E1591" s="88"/>
      <c r="F1591" s="88"/>
      <c r="G1591" s="87" t="str">
        <f t="shared" si="24"/>
        <v>332110100DIARIASSEM INFORMACAO</v>
      </c>
      <c r="H1591" s="87" t="str">
        <f>VLOOKUP(Tabela1[[#This Row],[CONCATENAR]],'Classificações - Demonstrações'!$A$5:$C$46003,2,)</f>
        <v>Despesas Administrativas - Serviços e Materiais</v>
      </c>
      <c r="I1591" s="87"/>
    </row>
    <row r="1592" spans="1:9" ht="12.75" customHeight="1" x14ac:dyDescent="0.2">
      <c r="A1592" s="94" t="s">
        <v>5396</v>
      </c>
      <c r="B1592" s="87" t="s">
        <v>695</v>
      </c>
      <c r="C1592" s="87" t="s">
        <v>319</v>
      </c>
      <c r="D1592" s="89">
        <v>-4996.97</v>
      </c>
      <c r="E1592" s="88"/>
      <c r="F1592" s="88"/>
      <c r="G1592" s="87" t="str">
        <f t="shared" si="24"/>
        <v>332210100SERVICOS TECNICOS PROFISSIONAIS - PFSEM INFORMACAO</v>
      </c>
      <c r="H1592" s="87" t="str">
        <f>VLOOKUP(Tabela1[[#This Row],[CONCATENAR]],'Classificações - Demonstrações'!$A$5:$C$46003,2,)</f>
        <v>Despesas Administrativas - Serviços e Materiais</v>
      </c>
      <c r="I1592" s="87"/>
    </row>
    <row r="1593" spans="1:9" ht="12.75" customHeight="1" x14ac:dyDescent="0.2">
      <c r="A1593" s="94" t="s">
        <v>5397</v>
      </c>
      <c r="B1593" s="87" t="s">
        <v>696</v>
      </c>
      <c r="C1593" s="87" t="s">
        <v>319</v>
      </c>
      <c r="D1593" s="89">
        <v>-554792.44999999995</v>
      </c>
      <c r="E1593" s="88"/>
      <c r="F1593" s="88"/>
      <c r="G1593" s="87" t="str">
        <f t="shared" si="24"/>
        <v>332210600SERVICOS ASSISTENCIAIS - PFSEM INFORMACAO</v>
      </c>
      <c r="H1593" s="87" t="str">
        <f>VLOOKUP(Tabela1[[#This Row],[CONCATENAR]],'Classificações - Demonstrações'!$A$5:$C$46003,2,)</f>
        <v>Despesas Administrativas - Serviços e Materiais</v>
      </c>
      <c r="I1593" s="87"/>
    </row>
    <row r="1594" spans="1:9" ht="12.75" customHeight="1" x14ac:dyDescent="0.2">
      <c r="A1594" s="94" t="s">
        <v>5398</v>
      </c>
      <c r="B1594" s="87" t="s">
        <v>697</v>
      </c>
      <c r="C1594" s="87" t="s">
        <v>319</v>
      </c>
      <c r="D1594" s="89">
        <v>-10144981.550000001</v>
      </c>
      <c r="E1594" s="88"/>
      <c r="F1594" s="88"/>
      <c r="G1594" s="87" t="str">
        <f t="shared" si="24"/>
        <v>332310100SERVICOS TECNICOS PROFISSIONAISSEM INFORMACAO</v>
      </c>
      <c r="H1594" s="87" t="str">
        <f>VLOOKUP(Tabela1[[#This Row],[CONCATENAR]],'Classificações - Demonstrações'!$A$5:$C$46003,2,)</f>
        <v>Despesas Administrativas - Serviços e Materiais</v>
      </c>
      <c r="I1594" s="87"/>
    </row>
    <row r="1595" spans="1:9" ht="12.75" customHeight="1" x14ac:dyDescent="0.2">
      <c r="A1595" s="94" t="s">
        <v>5399</v>
      </c>
      <c r="B1595" s="87" t="s">
        <v>698</v>
      </c>
      <c r="C1595" s="87" t="s">
        <v>319</v>
      </c>
      <c r="D1595" s="89">
        <v>-4923213.95</v>
      </c>
      <c r="E1595" s="88"/>
      <c r="F1595" s="88"/>
      <c r="G1595" s="87" t="str">
        <f t="shared" si="24"/>
        <v>332310200SERVICOS DE APOIO ADM, TECNICO E OPERACIONALSEM INFORMACAO</v>
      </c>
      <c r="H1595" s="87" t="str">
        <f>VLOOKUP(Tabela1[[#This Row],[CONCATENAR]],'Classificações - Demonstrações'!$A$5:$C$46003,2,)</f>
        <v>Despesas Administrativas - Serviços e Materiais</v>
      </c>
      <c r="I1595" s="87"/>
    </row>
    <row r="1596" spans="1:9" ht="12.75" customHeight="1" x14ac:dyDescent="0.2">
      <c r="A1596" s="94" t="s">
        <v>5400</v>
      </c>
      <c r="B1596" s="87" t="s">
        <v>699</v>
      </c>
      <c r="C1596" s="87" t="s">
        <v>319</v>
      </c>
      <c r="D1596" s="89">
        <v>-244603.18</v>
      </c>
      <c r="E1596" s="88"/>
      <c r="F1596" s="88"/>
      <c r="G1596" s="87" t="str">
        <f t="shared" si="24"/>
        <v>332310300SERVICOS COMUNICACAO, GRAFICO E AUDIOVISUALSEM INFORMACAO</v>
      </c>
      <c r="H1596" s="87" t="str">
        <f>VLOOKUP(Tabela1[[#This Row],[CONCATENAR]],'Classificações - Demonstrações'!$A$5:$C$46003,2,)</f>
        <v>Despesas Administrativas - Serviços e Materiais</v>
      </c>
      <c r="I1596" s="87"/>
    </row>
    <row r="1597" spans="1:9" ht="12.75" customHeight="1" x14ac:dyDescent="0.2">
      <c r="A1597" s="94" t="s">
        <v>5401</v>
      </c>
      <c r="B1597" s="87" t="s">
        <v>700</v>
      </c>
      <c r="C1597" s="87" t="s">
        <v>319</v>
      </c>
      <c r="D1597" s="89">
        <v>-3892435.85</v>
      </c>
      <c r="E1597" s="88"/>
      <c r="F1597" s="88"/>
      <c r="G1597" s="87" t="str">
        <f t="shared" si="24"/>
        <v>332310400SERV.TRANSP.,PASSAGEM,LOCOMOCAO E HOSPED.-PJSEM INFORMACAO</v>
      </c>
      <c r="H1597" s="87" t="str">
        <f>VLOOKUP(Tabela1[[#This Row],[CONCATENAR]],'Classificações - Demonstrações'!$A$5:$C$46003,2,)</f>
        <v>Despesas Administrativas - Serviços e Materiais</v>
      </c>
      <c r="I1597" s="87"/>
    </row>
    <row r="1598" spans="1:9" ht="12.75" customHeight="1" x14ac:dyDescent="0.2">
      <c r="A1598" s="94" t="s">
        <v>5402</v>
      </c>
      <c r="B1598" s="87" t="s">
        <v>701</v>
      </c>
      <c r="C1598" s="87" t="s">
        <v>319</v>
      </c>
      <c r="D1598" s="89">
        <v>-12157.64</v>
      </c>
      <c r="E1598" s="88"/>
      <c r="F1598" s="88"/>
      <c r="G1598" s="87" t="str">
        <f t="shared" si="24"/>
        <v>332310500SERVICOS ADMINISTRATIVOS - PJSEM INFORMACAO</v>
      </c>
      <c r="H1598" s="87" t="str">
        <f>VLOOKUP(Tabela1[[#This Row],[CONCATENAR]],'Classificações - Demonstrações'!$A$5:$C$46003,2,)</f>
        <v>Despesas Administrativas - Serviços e Materiais</v>
      </c>
      <c r="I1598" s="87"/>
    </row>
    <row r="1599" spans="1:9" ht="12.75" customHeight="1" x14ac:dyDescent="0.2">
      <c r="A1599" s="94" t="s">
        <v>5403</v>
      </c>
      <c r="B1599" s="87" t="s">
        <v>702</v>
      </c>
      <c r="C1599" s="87" t="s">
        <v>319</v>
      </c>
      <c r="D1599" s="89">
        <v>-349244.14</v>
      </c>
      <c r="E1599" s="88"/>
      <c r="F1599" s="88"/>
      <c r="G1599" s="87" t="str">
        <f t="shared" si="24"/>
        <v>332310600SERVICOS ASSISTENCIAIS - PJSEM INFORMACAO</v>
      </c>
      <c r="H1599" s="87" t="str">
        <f>VLOOKUP(Tabela1[[#This Row],[CONCATENAR]],'Classificações - Demonstrações'!$A$5:$C$46003,2,)</f>
        <v>Despesas Administrativas - Serviços e Materiais</v>
      </c>
      <c r="I1599" s="87"/>
    </row>
    <row r="1600" spans="1:9" ht="12.75" customHeight="1" x14ac:dyDescent="0.2">
      <c r="A1600" s="94" t="s">
        <v>5404</v>
      </c>
      <c r="B1600" s="87" t="s">
        <v>703</v>
      </c>
      <c r="C1600" s="87" t="s">
        <v>319</v>
      </c>
      <c r="D1600" s="89">
        <v>-1720172.32</v>
      </c>
      <c r="E1600" s="88"/>
      <c r="F1600" s="88"/>
      <c r="G1600" s="87" t="str">
        <f t="shared" si="24"/>
        <v>332310800SERV.AGUA E ESGOTO,ENER.ELETR.,GAS E OUTR.-PJSEM INFORMACAO</v>
      </c>
      <c r="H1600" s="87" t="str">
        <f>VLOOKUP(Tabela1[[#This Row],[CONCATENAR]],'Classificações - Demonstrações'!$A$5:$C$46003,2,)</f>
        <v>Despesas Administrativas - Serviços e Materiais</v>
      </c>
      <c r="I1600" s="87"/>
    </row>
    <row r="1601" spans="1:9" ht="12.75" customHeight="1" x14ac:dyDescent="0.2">
      <c r="A1601" s="94" t="s">
        <v>5405</v>
      </c>
      <c r="B1601" s="87" t="s">
        <v>704</v>
      </c>
      <c r="C1601" s="87" t="s">
        <v>319</v>
      </c>
      <c r="D1601" s="89">
        <v>-357380.13</v>
      </c>
      <c r="E1601" s="88"/>
      <c r="F1601" s="88"/>
      <c r="G1601" s="87" t="str">
        <f t="shared" si="24"/>
        <v>332310900LOCACAO E ARRENDAMENTO MERCANTIL OPERACIONALSEM INFORMACAO</v>
      </c>
      <c r="H1601" s="87" t="str">
        <f>VLOOKUP(Tabela1[[#This Row],[CONCATENAR]],'Classificações - Demonstrações'!$A$5:$C$46003,2,)</f>
        <v>Despesas Administrativas - Serviços e Materiais</v>
      </c>
      <c r="I1601" s="87"/>
    </row>
    <row r="1602" spans="1:9" ht="12.75" customHeight="1" x14ac:dyDescent="0.2">
      <c r="A1602" s="94" t="s">
        <v>5406</v>
      </c>
      <c r="B1602" s="87" t="s">
        <v>705</v>
      </c>
      <c r="C1602" s="87" t="s">
        <v>319</v>
      </c>
      <c r="D1602" s="89">
        <v>-2559031.6800000002</v>
      </c>
      <c r="E1602" s="88"/>
      <c r="F1602" s="88"/>
      <c r="G1602" s="87" t="str">
        <f t="shared" si="24"/>
        <v>332311200FORNECIMENTO DE ALIMENTACAOSEM INFORMACAO</v>
      </c>
      <c r="H1602" s="87" t="str">
        <f>VLOOKUP(Tabela1[[#This Row],[CONCATENAR]],'Classificações - Demonstrações'!$A$5:$C$46003,2,)</f>
        <v>Despesas Administrativas - Serviços e Materiais</v>
      </c>
      <c r="I1602" s="87"/>
    </row>
    <row r="1603" spans="1:9" ht="12.75" customHeight="1" x14ac:dyDescent="0.2">
      <c r="A1603" s="94" t="s">
        <v>5407</v>
      </c>
      <c r="B1603" s="87" t="s">
        <v>706</v>
      </c>
      <c r="C1603" s="87" t="s">
        <v>319</v>
      </c>
      <c r="D1603" s="89">
        <v>-572921.06999999995</v>
      </c>
      <c r="E1603" s="88"/>
      <c r="F1603" s="88"/>
      <c r="G1603" s="87" t="str">
        <f t="shared" si="24"/>
        <v>332311300SEGUROS EM GERALSEM INFORMACAO</v>
      </c>
      <c r="H1603" s="87" t="str">
        <f>VLOOKUP(Tabela1[[#This Row],[CONCATENAR]],'Classificações - Demonstrações'!$A$5:$C$46003,2,)</f>
        <v>Despesas Administrativas - Serviços e Materiais</v>
      </c>
      <c r="I1603" s="87"/>
    </row>
    <row r="1604" spans="1:9" ht="12.75" customHeight="1" x14ac:dyDescent="0.2">
      <c r="A1604" s="94" t="s">
        <v>5408</v>
      </c>
      <c r="B1604" s="87" t="s">
        <v>707</v>
      </c>
      <c r="C1604" s="87" t="s">
        <v>319</v>
      </c>
      <c r="D1604" s="89">
        <v>-216959.59</v>
      </c>
      <c r="E1604" s="88"/>
      <c r="F1604" s="88"/>
      <c r="G1604" s="87" t="str">
        <f t="shared" si="24"/>
        <v>332319900SERVICOS PRESTADOS DIVERSOS - PJSEM INFORMACAO</v>
      </c>
      <c r="H1604" s="87" t="str">
        <f>VLOOKUP(Tabela1[[#This Row],[CONCATENAR]],'Classificações - Demonstrações'!$A$5:$C$46003,2,)</f>
        <v>Despesas Administrativas - Serviços e Materiais</v>
      </c>
      <c r="I1604" s="87"/>
    </row>
    <row r="1605" spans="1:9" ht="12.75" customHeight="1" x14ac:dyDescent="0.2">
      <c r="A1605" s="94" t="s">
        <v>5409</v>
      </c>
      <c r="B1605" s="87" t="s">
        <v>4919</v>
      </c>
      <c r="C1605" s="87" t="s">
        <v>319</v>
      </c>
      <c r="D1605" s="89">
        <v>-17995.5</v>
      </c>
      <c r="E1605" s="88"/>
      <c r="F1605" s="88"/>
      <c r="G1605" s="87" t="str">
        <f t="shared" ref="G1605:G1659" si="25">CONCATENATE(A1605,B1605,C1605)</f>
        <v>332320300SERV.COMUNICAC.,GRAFICOS E AUDIOVIS.-PJ-INTRASEM INFORMACAO</v>
      </c>
      <c r="H1605" s="87" t="str">
        <f>VLOOKUP(Tabela1[[#This Row],[CONCATENAR]],'Classificações - Demonstrações'!$A$5:$C$46003,2,)</f>
        <v>Despesas Administrativas - Serviços e Materiais</v>
      </c>
      <c r="I1605" s="87"/>
    </row>
    <row r="1606" spans="1:9" ht="12.75" customHeight="1" x14ac:dyDescent="0.2">
      <c r="A1606" s="94" t="s">
        <v>6359</v>
      </c>
      <c r="B1606" s="87" t="s">
        <v>707</v>
      </c>
      <c r="C1606" s="87" t="s">
        <v>319</v>
      </c>
      <c r="D1606" s="89">
        <v>-76565.5</v>
      </c>
      <c r="E1606" s="88"/>
      <c r="F1606" s="88"/>
      <c r="G1606" s="87" t="str">
        <f t="shared" si="25"/>
        <v>332359900SERVICOS PRESTADOS DIVERSOS - PJSEM INFORMACAO</v>
      </c>
      <c r="H1606" s="87" t="str">
        <f>VLOOKUP(Tabela1[[#This Row],[CONCATENAR]],'Classificações - Demonstrações'!$A$5:$C$46003,2,)</f>
        <v>Despesas Administrativas - Serviços e Materiais</v>
      </c>
      <c r="I1606" s="87"/>
    </row>
    <row r="1607" spans="1:9" ht="12.75" customHeight="1" x14ac:dyDescent="0.2">
      <c r="A1607" s="94" t="s">
        <v>6360</v>
      </c>
      <c r="B1607" s="87" t="s">
        <v>6361</v>
      </c>
      <c r="C1607" s="87" t="s">
        <v>319</v>
      </c>
      <c r="D1607" s="89">
        <v>-5800</v>
      </c>
      <c r="E1607" s="88"/>
      <c r="F1607" s="88"/>
      <c r="G1607" s="87" t="str">
        <f t="shared" si="25"/>
        <v>332410100CONTRATO DE TERC. POR SUBST. DE M.O.SEM INFORMACAO</v>
      </c>
      <c r="H1607" s="87" t="str">
        <f>VLOOKUP(Tabela1[[#This Row],[CONCATENAR]],'Classificações - Demonstrações'!$A$5:$C$46003,2,)</f>
        <v>Despesas Administrativas - Serviços e Materiais</v>
      </c>
      <c r="I1607" s="87"/>
    </row>
    <row r="1608" spans="1:9" ht="12.75" customHeight="1" x14ac:dyDescent="0.2">
      <c r="A1608" s="94" t="s">
        <v>5410</v>
      </c>
      <c r="B1608" s="87" t="s">
        <v>708</v>
      </c>
      <c r="C1608" s="87" t="s">
        <v>319</v>
      </c>
      <c r="D1608" s="89">
        <v>-1143326.44</v>
      </c>
      <c r="E1608" s="88"/>
      <c r="F1608" s="88"/>
      <c r="G1608" s="87" t="str">
        <f t="shared" si="25"/>
        <v>333110100DEPRECIACAO DE BENS MOVEISSEM INFORMACAO</v>
      </c>
      <c r="H1608" s="87" t="str">
        <f>VLOOKUP(Tabela1[[#This Row],[CONCATENAR]],'Classificações - Demonstrações'!$A$5:$C$46003,2,)</f>
        <v>Despesas Administrativas - Depreciação</v>
      </c>
      <c r="I1608" s="87"/>
    </row>
    <row r="1609" spans="1:9" ht="12.75" customHeight="1" x14ac:dyDescent="0.2">
      <c r="A1609" s="94" t="s">
        <v>5411</v>
      </c>
      <c r="B1609" s="87" t="s">
        <v>709</v>
      </c>
      <c r="C1609" s="87" t="s">
        <v>319</v>
      </c>
      <c r="D1609" s="89">
        <v>-291367.7</v>
      </c>
      <c r="E1609" s="88"/>
      <c r="F1609" s="88"/>
      <c r="G1609" s="87" t="str">
        <f t="shared" si="25"/>
        <v>333110200DEPRECIACAO DE BENS IMOVEISSEM INFORMACAO</v>
      </c>
      <c r="H1609" s="87" t="str">
        <f>VLOOKUP(Tabela1[[#This Row],[CONCATENAR]],'Classificações - Demonstrações'!$A$5:$C$46003,2,)</f>
        <v>Despesas Administrativas - Depreciação</v>
      </c>
      <c r="I1609" s="87"/>
    </row>
    <row r="1610" spans="1:9" ht="12.75" customHeight="1" x14ac:dyDescent="0.2">
      <c r="A1610" s="94" t="s">
        <v>5412</v>
      </c>
      <c r="B1610" s="87" t="s">
        <v>710</v>
      </c>
      <c r="C1610" s="87" t="s">
        <v>319</v>
      </c>
      <c r="D1610" s="89">
        <v>-7115.6</v>
      </c>
      <c r="E1610" s="88"/>
      <c r="F1610" s="88"/>
      <c r="G1610" s="87" t="str">
        <f t="shared" si="25"/>
        <v>333210200AMORTIZACAO DE INTANGIVELSEM INFORMACAO</v>
      </c>
      <c r="H1610" s="87" t="str">
        <f>VLOOKUP(Tabela1[[#This Row],[CONCATENAR]],'Classificações - Demonstrações'!$A$5:$C$46003,2,)</f>
        <v>Despesas Administrativas - Amortização</v>
      </c>
      <c r="I1610" s="87"/>
    </row>
    <row r="1611" spans="1:9" ht="12.75" customHeight="1" x14ac:dyDescent="0.2">
      <c r="A1611" s="94" t="s">
        <v>5413</v>
      </c>
      <c r="B1611" s="87" t="s">
        <v>711</v>
      </c>
      <c r="C1611" s="87" t="s">
        <v>319</v>
      </c>
      <c r="D1611" s="89">
        <v>-60775</v>
      </c>
      <c r="E1611" s="88"/>
      <c r="F1611" s="88"/>
      <c r="G1611" s="87" t="str">
        <f t="shared" si="25"/>
        <v>342310100JUROS DE MORASEM INFORMACAO</v>
      </c>
      <c r="H1611" s="87" t="str">
        <f>VLOOKUP(Tabela1[[#This Row],[CONCATENAR]],'Classificações - Demonstrações'!$A$5:$C$46003,2,)</f>
        <v>Despesas Financeiras</v>
      </c>
      <c r="I1611" s="87"/>
    </row>
    <row r="1612" spans="1:9" ht="12.75" customHeight="1" x14ac:dyDescent="0.2">
      <c r="A1612" s="94" t="s">
        <v>5414</v>
      </c>
      <c r="B1612" s="87" t="s">
        <v>712</v>
      </c>
      <c r="C1612" s="87" t="s">
        <v>319</v>
      </c>
      <c r="D1612" s="89">
        <v>-18581.490000000002</v>
      </c>
      <c r="E1612" s="88"/>
      <c r="F1612" s="88"/>
      <c r="G1612" s="87" t="str">
        <f t="shared" si="25"/>
        <v>342310200MULTAS DEDUTIVEISSEM INFORMACAO</v>
      </c>
      <c r="H1612" s="87" t="str">
        <f>VLOOKUP(Tabela1[[#This Row],[CONCATENAR]],'Classificações - Demonstrações'!$A$5:$C$46003,2,)</f>
        <v>Despesas Financeiras</v>
      </c>
      <c r="I1612" s="87"/>
    </row>
    <row r="1613" spans="1:9" ht="12.75" customHeight="1" x14ac:dyDescent="0.2">
      <c r="A1613" s="94" t="s">
        <v>5415</v>
      </c>
      <c r="B1613" s="87" t="s">
        <v>711</v>
      </c>
      <c r="C1613" s="87" t="s">
        <v>319</v>
      </c>
      <c r="D1613" s="89">
        <v>-116406.93</v>
      </c>
      <c r="E1613" s="88"/>
      <c r="F1613" s="88"/>
      <c r="G1613" s="87" t="str">
        <f t="shared" si="25"/>
        <v>342410100JUROS DE MORASEM INFORMACAO</v>
      </c>
      <c r="H1613" s="87" t="str">
        <f>VLOOKUP(Tabela1[[#This Row],[CONCATENAR]],'Classificações - Demonstrações'!$A$5:$C$46003,2,)</f>
        <v>Despesas Financeiras</v>
      </c>
      <c r="I1613" s="87"/>
    </row>
    <row r="1614" spans="1:9" ht="12.75" customHeight="1" x14ac:dyDescent="0.2">
      <c r="A1614" s="94" t="s">
        <v>5416</v>
      </c>
      <c r="B1614" s="87" t="s">
        <v>712</v>
      </c>
      <c r="C1614" s="87" t="s">
        <v>319</v>
      </c>
      <c r="D1614" s="89">
        <v>-148109.04999999999</v>
      </c>
      <c r="E1614" s="88"/>
      <c r="F1614" s="88"/>
      <c r="G1614" s="87" t="str">
        <f t="shared" si="25"/>
        <v>342410200MULTAS DEDUTIVEISSEM INFORMACAO</v>
      </c>
      <c r="H1614" s="87" t="str">
        <f>VLOOKUP(Tabela1[[#This Row],[CONCATENAR]],'Classificações - Demonstrações'!$A$5:$C$46003,2,)</f>
        <v>Despesas Financeiras</v>
      </c>
      <c r="I1614" s="87"/>
    </row>
    <row r="1615" spans="1:9" ht="12.75" customHeight="1" x14ac:dyDescent="0.2">
      <c r="A1615" s="94" t="s">
        <v>5417</v>
      </c>
      <c r="B1615" s="87" t="s">
        <v>711</v>
      </c>
      <c r="C1615" s="87" t="s">
        <v>319</v>
      </c>
      <c r="D1615" s="89">
        <v>-93.76</v>
      </c>
      <c r="E1615" s="88"/>
      <c r="F1615" s="88"/>
      <c r="G1615" s="87" t="str">
        <f t="shared" si="25"/>
        <v>342420100JUROS DE MORASEM INFORMACAO</v>
      </c>
      <c r="H1615" s="87" t="str">
        <f>VLOOKUP(Tabela1[[#This Row],[CONCATENAR]],'Classificações - Demonstrações'!$A$5:$C$46003,2,)</f>
        <v>Despesas Financeiras</v>
      </c>
      <c r="I1615" s="87"/>
    </row>
    <row r="1616" spans="1:9" ht="12.75" customHeight="1" x14ac:dyDescent="0.2">
      <c r="A1616" s="94" t="s">
        <v>5418</v>
      </c>
      <c r="B1616" s="87" t="s">
        <v>712</v>
      </c>
      <c r="C1616" s="87" t="s">
        <v>319</v>
      </c>
      <c r="D1616" s="89">
        <v>-1040.53</v>
      </c>
      <c r="E1616" s="88"/>
      <c r="F1616" s="88"/>
      <c r="G1616" s="87" t="str">
        <f t="shared" si="25"/>
        <v>342420200MULTAS DEDUTIVEISSEM INFORMACAO</v>
      </c>
      <c r="H1616" s="87" t="str">
        <f>VLOOKUP(Tabela1[[#This Row],[CONCATENAR]],'Classificações - Demonstrações'!$A$5:$C$46003,2,)</f>
        <v>Despesas Financeiras</v>
      </c>
      <c r="I1616" s="87"/>
    </row>
    <row r="1617" spans="1:9" ht="12.75" customHeight="1" x14ac:dyDescent="0.2">
      <c r="A1617" s="94" t="s">
        <v>5419</v>
      </c>
      <c r="B1617" s="87" t="s">
        <v>713</v>
      </c>
      <c r="C1617" s="87" t="s">
        <v>319</v>
      </c>
      <c r="D1617" s="89">
        <v>0</v>
      </c>
      <c r="E1617" s="88"/>
      <c r="F1617" s="88"/>
      <c r="G1617" s="87" t="str">
        <f t="shared" si="25"/>
        <v>342420400ENCARGOS DE MORASEM INFORMACAO</v>
      </c>
      <c r="H1617" s="87" t="str">
        <f>VLOOKUP(Tabela1[[#This Row],[CONCATENAR]],'Classificações - Demonstrações'!$A$5:$C$46003,2,)</f>
        <v>Despesas Financeiras</v>
      </c>
      <c r="I1617" s="87"/>
    </row>
    <row r="1618" spans="1:9" ht="12.75" customHeight="1" x14ac:dyDescent="0.2">
      <c r="A1618" s="94" t="s">
        <v>6362</v>
      </c>
      <c r="B1618" s="87" t="s">
        <v>712</v>
      </c>
      <c r="C1618" s="87" t="s">
        <v>319</v>
      </c>
      <c r="D1618" s="89">
        <v>0</v>
      </c>
      <c r="E1618" s="88"/>
      <c r="F1618" s="88"/>
      <c r="G1618" s="87" t="str">
        <f t="shared" si="25"/>
        <v>342440200MULTAS DEDUTIVEISSEM INFORMACAO</v>
      </c>
      <c r="H1618" s="87" t="str">
        <f>VLOOKUP(Tabela1[[#This Row],[CONCATENAR]],'Classificações - Demonstrações'!$A$5:$C$46003,2,)</f>
        <v>Despesas Financeiras</v>
      </c>
      <c r="I1618" s="87"/>
    </row>
    <row r="1619" spans="1:9" ht="12.75" customHeight="1" x14ac:dyDescent="0.2">
      <c r="A1619" s="94" t="s">
        <v>6363</v>
      </c>
      <c r="B1619" s="87" t="s">
        <v>713</v>
      </c>
      <c r="C1619" s="87" t="s">
        <v>319</v>
      </c>
      <c r="D1619" s="89">
        <v>0</v>
      </c>
      <c r="E1619" s="88"/>
      <c r="F1619" s="88"/>
      <c r="G1619" s="87" t="str">
        <f t="shared" si="25"/>
        <v>342440400ENCARGOS DE MORASEM INFORMACAO</v>
      </c>
      <c r="H1619" s="87" t="str">
        <f>VLOOKUP(Tabela1[[#This Row],[CONCATENAR]],'Classificações - Demonstrações'!$A$5:$C$46003,2,)</f>
        <v>Despesas Financeiras</v>
      </c>
      <c r="I1619" s="87"/>
    </row>
    <row r="1620" spans="1:9" ht="12.75" customHeight="1" x14ac:dyDescent="0.2">
      <c r="A1620" s="94" t="s">
        <v>6364</v>
      </c>
      <c r="B1620" s="87" t="s">
        <v>5421</v>
      </c>
      <c r="C1620" s="87" t="s">
        <v>319</v>
      </c>
      <c r="D1620" s="89">
        <v>-1216.6400000000001</v>
      </c>
      <c r="E1620" s="88"/>
      <c r="F1620" s="88"/>
      <c r="G1620" s="87" t="str">
        <f t="shared" si="25"/>
        <v>342510100JUROS DE MORA DE OBRIGACOES PREVIDENCIARIASSEM INFORMACAO</v>
      </c>
      <c r="H1620" s="87" t="str">
        <f>VLOOKUP(Tabela1[[#This Row],[CONCATENAR]],'Classificações - Demonstrações'!$A$5:$C$46003,2,)</f>
        <v>Despesas Financeiras</v>
      </c>
      <c r="I1620" s="87"/>
    </row>
    <row r="1621" spans="1:9" ht="12.75" customHeight="1" x14ac:dyDescent="0.2">
      <c r="A1621" s="94" t="s">
        <v>6365</v>
      </c>
      <c r="B1621" s="87" t="s">
        <v>5423</v>
      </c>
      <c r="C1621" s="87" t="s">
        <v>319</v>
      </c>
      <c r="D1621" s="89">
        <v>-1384.44</v>
      </c>
      <c r="E1621" s="88"/>
      <c r="F1621" s="88"/>
      <c r="G1621" s="87" t="str">
        <f t="shared" si="25"/>
        <v>342510200MULTA DE MORA DE OBRIGACOES PREVIDENCIARIASSEM INFORMACAO</v>
      </c>
      <c r="H1621" s="87" t="str">
        <f>VLOOKUP(Tabela1[[#This Row],[CONCATENAR]],'Classificações - Demonstrações'!$A$5:$C$46003,2,)</f>
        <v>Despesas Financeiras</v>
      </c>
      <c r="I1621" s="87"/>
    </row>
    <row r="1622" spans="1:9" ht="12.75" customHeight="1" x14ac:dyDescent="0.2">
      <c r="A1622" s="94" t="s">
        <v>5420</v>
      </c>
      <c r="B1622" s="87" t="s">
        <v>5421</v>
      </c>
      <c r="C1622" s="87" t="s">
        <v>319</v>
      </c>
      <c r="D1622" s="89">
        <v>0</v>
      </c>
      <c r="E1622" s="88"/>
      <c r="F1622" s="88"/>
      <c r="G1622" s="87" t="str">
        <f t="shared" si="25"/>
        <v>342550100JUROS DE MORA DE OBRIGACOES PREVIDENCIARIASSEM INFORMACAO</v>
      </c>
      <c r="H1622" s="87" t="str">
        <f>VLOOKUP(Tabela1[[#This Row],[CONCATENAR]],'Classificações - Demonstrações'!$A$5:$C$46003,2,)</f>
        <v>Despesas Financeiras</v>
      </c>
      <c r="I1622" s="87"/>
    </row>
    <row r="1623" spans="1:9" ht="12.75" customHeight="1" x14ac:dyDescent="0.2">
      <c r="A1623" s="94" t="s">
        <v>5422</v>
      </c>
      <c r="B1623" s="87" t="s">
        <v>5423</v>
      </c>
      <c r="C1623" s="87" t="s">
        <v>319</v>
      </c>
      <c r="D1623" s="89">
        <v>0</v>
      </c>
      <c r="E1623" s="88"/>
      <c r="F1623" s="88"/>
      <c r="G1623" s="87" t="str">
        <f t="shared" si="25"/>
        <v>342550200MULTA DE MORA DE OBRIGACOES PREVIDENCIARIASSEM INFORMACAO</v>
      </c>
      <c r="H1623" s="87" t="str">
        <f>VLOOKUP(Tabela1[[#This Row],[CONCATENAR]],'Classificações - Demonstrações'!$A$5:$C$46003,2,)</f>
        <v>Despesas Financeiras</v>
      </c>
      <c r="I1623" s="87"/>
    </row>
    <row r="1624" spans="1:9" ht="12.75" customHeight="1" x14ac:dyDescent="0.2">
      <c r="A1624" s="94" t="s">
        <v>5424</v>
      </c>
      <c r="B1624" s="87" t="s">
        <v>4683</v>
      </c>
      <c r="C1624" s="87" t="s">
        <v>319</v>
      </c>
      <c r="D1624" s="89">
        <v>-15822.28</v>
      </c>
      <c r="E1624" s="88"/>
      <c r="F1624" s="88"/>
      <c r="G1624" s="87" t="str">
        <f t="shared" si="25"/>
        <v>343910101ENCARGOS FINANCEIROS DEDUTIVEISSEM INFORMACAO</v>
      </c>
      <c r="H1624" s="87" t="str">
        <f>VLOOKUP(Tabela1[[#This Row],[CONCATENAR]],'Classificações - Demonstrações'!$A$5:$C$46003,2,)</f>
        <v>Despesas Financeiras</v>
      </c>
      <c r="I1624" s="87"/>
    </row>
    <row r="1625" spans="1:9" ht="12.75" customHeight="1" x14ac:dyDescent="0.2">
      <c r="A1625" s="94" t="s">
        <v>6366</v>
      </c>
      <c r="B1625" s="87" t="s">
        <v>6367</v>
      </c>
      <c r="C1625" s="87" t="s">
        <v>319</v>
      </c>
      <c r="D1625" s="89">
        <v>-79.83</v>
      </c>
      <c r="E1625" s="88"/>
      <c r="F1625" s="88"/>
      <c r="G1625" s="87" t="str">
        <f t="shared" si="25"/>
        <v>343910103ATUALIZACAO MONETARIA - DEMAIS ATIVOSSEM INFORMACAO</v>
      </c>
      <c r="H1625" s="87" t="str">
        <f>VLOOKUP(Tabela1[[#This Row],[CONCATENAR]],'Classificações - Demonstrações'!$A$5:$C$46003,2,)</f>
        <v>Despesas Financeiras</v>
      </c>
      <c r="I1625" s="87"/>
    </row>
    <row r="1626" spans="1:9" ht="12.75" customHeight="1" x14ac:dyDescent="0.2">
      <c r="A1626" s="94" t="s">
        <v>5425</v>
      </c>
      <c r="B1626" s="87" t="s">
        <v>714</v>
      </c>
      <c r="C1626" s="87" t="s">
        <v>319</v>
      </c>
      <c r="D1626" s="89">
        <v>-44597.64</v>
      </c>
      <c r="E1626" s="88"/>
      <c r="F1626" s="88"/>
      <c r="G1626" s="87" t="str">
        <f t="shared" si="25"/>
        <v>352410100OUTRAS TRANSFERENCIASSEM INFORMACAO</v>
      </c>
      <c r="H1626" s="87" t="str">
        <f>VLOOKUP(Tabela1[[#This Row],[CONCATENAR]],'Classificações - Demonstrações'!$A$5:$C$46003,2,)</f>
        <v>Despesas Administrativas - Serviços e Materiais</v>
      </c>
      <c r="I1626" s="87"/>
    </row>
    <row r="1627" spans="1:9" ht="12.75" customHeight="1" x14ac:dyDescent="0.2">
      <c r="A1627" s="94" t="s">
        <v>5426</v>
      </c>
      <c r="B1627" s="87" t="s">
        <v>4684</v>
      </c>
      <c r="C1627" s="87" t="s">
        <v>319</v>
      </c>
      <c r="D1627" s="89">
        <v>-19629302.079999998</v>
      </c>
      <c r="E1627" s="88"/>
      <c r="F1627" s="88"/>
      <c r="G1627" s="87" t="str">
        <f t="shared" si="25"/>
        <v>363910100OUTRAS PERDAS INVOLUNTARIASSEM INFORMACAO</v>
      </c>
      <c r="H1627" s="87" t="str">
        <f>VLOOKUP(Tabela1[[#This Row],[CONCATENAR]],'Classificações - Demonstrações'!$A$5:$C$46003,2,)</f>
        <v>Despesas Administrativas - Demais Despesas</v>
      </c>
      <c r="I1627" s="87"/>
    </row>
    <row r="1628" spans="1:9" ht="12.75" customHeight="1" x14ac:dyDescent="0.2">
      <c r="A1628" s="94" t="s">
        <v>5427</v>
      </c>
      <c r="B1628" s="87" t="s">
        <v>715</v>
      </c>
      <c r="C1628" s="87" t="s">
        <v>319</v>
      </c>
      <c r="D1628" s="89">
        <v>-121283419.33</v>
      </c>
      <c r="E1628" s="88"/>
      <c r="F1628" s="88"/>
      <c r="G1628" s="87" t="str">
        <f t="shared" si="25"/>
        <v>364110100INCORPORACAO DE PASSIVOSSEM INFORMACAO</v>
      </c>
      <c r="H1628" s="87" t="str">
        <f>VLOOKUP(Tabela1[[#This Row],[CONCATENAR]],'Classificações - Demonstrações'!$A$5:$C$46003,2,)</f>
        <v>Despesas Administrativas - Demais Despesas</v>
      </c>
      <c r="I1628" s="87"/>
    </row>
    <row r="1629" spans="1:9" ht="12.75" customHeight="1" x14ac:dyDescent="0.2">
      <c r="A1629" s="94" t="s">
        <v>5428</v>
      </c>
      <c r="B1629" s="87" t="s">
        <v>716</v>
      </c>
      <c r="C1629" s="87" t="s">
        <v>319</v>
      </c>
      <c r="D1629" s="89">
        <v>-157587.60999999999</v>
      </c>
      <c r="E1629" s="88"/>
      <c r="F1629" s="88"/>
      <c r="G1629" s="87" t="str">
        <f t="shared" si="25"/>
        <v>365110100DESINCORPORACAO DE ATIVOSSEM INFORMACAO</v>
      </c>
      <c r="H1629" s="87" t="str">
        <f>VLOOKUP(Tabela1[[#This Row],[CONCATENAR]],'Classificações - Demonstrações'!$A$5:$C$46003,2,)</f>
        <v>Despesas Administrativas - Demais Despesas</v>
      </c>
      <c r="I1629" s="87"/>
    </row>
    <row r="1630" spans="1:9" ht="12.75" customHeight="1" x14ac:dyDescent="0.2">
      <c r="A1630" s="94" t="s">
        <v>6368</v>
      </c>
      <c r="B1630" s="87" t="s">
        <v>6369</v>
      </c>
      <c r="C1630" s="87" t="s">
        <v>319</v>
      </c>
      <c r="D1630" s="89">
        <v>-628735.84</v>
      </c>
      <c r="E1630" s="88"/>
      <c r="F1630" s="88"/>
      <c r="G1630" s="87" t="str">
        <f t="shared" si="25"/>
        <v>371110100IMPOSTO S/ PROPRIEDADE TERRITORIAL RURALSEM INFORMACAO</v>
      </c>
      <c r="H1630" s="87" t="str">
        <f>VLOOKUP(Tabela1[[#This Row],[CONCATENAR]],'Classificações - Demonstrações'!$A$5:$C$46003,2,)</f>
        <v>(-) Despesas Operacionais Tributárias</v>
      </c>
      <c r="I1630" s="87"/>
    </row>
    <row r="1631" spans="1:9" ht="12.75" customHeight="1" x14ac:dyDescent="0.2">
      <c r="A1631" s="94" t="s">
        <v>5429</v>
      </c>
      <c r="B1631" s="87" t="s">
        <v>717</v>
      </c>
      <c r="C1631" s="87" t="s">
        <v>319</v>
      </c>
      <c r="D1631" s="89">
        <v>-15805.16</v>
      </c>
      <c r="E1631" s="88"/>
      <c r="F1631" s="88"/>
      <c r="G1631" s="87" t="str">
        <f t="shared" si="25"/>
        <v>371110500IMPOSTO S/ PROPRIEDADE DE VEICULOS AUTOMOTORESEM INFORMACAO</v>
      </c>
      <c r="H1631" s="87" t="str">
        <f>VLOOKUP(Tabela1[[#This Row],[CONCATENAR]],'Classificações - Demonstrações'!$A$5:$C$46003,2,)</f>
        <v>(-) Despesas Operacionais Tributárias</v>
      </c>
      <c r="I1631" s="87"/>
    </row>
    <row r="1632" spans="1:9" ht="12.75" customHeight="1" x14ac:dyDescent="0.2">
      <c r="A1632" s="94" t="s">
        <v>5430</v>
      </c>
      <c r="B1632" s="87" t="s">
        <v>718</v>
      </c>
      <c r="C1632" s="87" t="s">
        <v>319</v>
      </c>
      <c r="D1632" s="89">
        <v>-1520.74</v>
      </c>
      <c r="E1632" s="88"/>
      <c r="F1632" s="88"/>
      <c r="G1632" s="87" t="str">
        <f t="shared" si="25"/>
        <v>371119900OUTROS IMPOSTOSSEM INFORMACAO</v>
      </c>
      <c r="H1632" s="87" t="str">
        <f>VLOOKUP(Tabela1[[#This Row],[CONCATENAR]],'Classificações - Demonstrações'!$A$5:$C$46003,2,)</f>
        <v>(-) Despesas Operacionais Tributárias</v>
      </c>
      <c r="I1632" s="87"/>
    </row>
    <row r="1633" spans="1:9" ht="12.75" customHeight="1" x14ac:dyDescent="0.2">
      <c r="A1633" s="94" t="s">
        <v>5824</v>
      </c>
      <c r="B1633" s="87" t="s">
        <v>5825</v>
      </c>
      <c r="C1633" s="87" t="s">
        <v>319</v>
      </c>
      <c r="D1633" s="89">
        <v>-870033.8</v>
      </c>
      <c r="E1633" s="88"/>
      <c r="F1633" s="88"/>
      <c r="G1633" s="87" t="str">
        <f t="shared" si="25"/>
        <v>371140700IMPOSTO S/ CIRCULACAO DE MERCADORIAS E SERV.SEM INFORMACAO</v>
      </c>
      <c r="H1633" s="87" t="str">
        <f>VLOOKUP(Tabela1[[#This Row],[CONCATENAR]],'Classificações - Demonstrações'!$A$5:$C$46003,2,)</f>
        <v>(-) Despesas Operacionais Tributárias</v>
      </c>
      <c r="I1633" s="87"/>
    </row>
    <row r="1634" spans="1:9" ht="12.75" customHeight="1" x14ac:dyDescent="0.2">
      <c r="A1634" s="94" t="s">
        <v>5826</v>
      </c>
      <c r="B1634" s="87" t="s">
        <v>5827</v>
      </c>
      <c r="C1634" s="87" t="s">
        <v>319</v>
      </c>
      <c r="D1634" s="89">
        <v>-87028.22</v>
      </c>
      <c r="E1634" s="88"/>
      <c r="F1634" s="88"/>
      <c r="G1634" s="87" t="str">
        <f t="shared" si="25"/>
        <v>371150800IMPOSTO SOBRE SERVICOS DE QUALQUER NATUREZASEM INFORMACAO</v>
      </c>
      <c r="H1634" s="87" t="str">
        <f>VLOOKUP(Tabela1[[#This Row],[CONCATENAR]],'Classificações - Demonstrações'!$A$5:$C$46003,2,)</f>
        <v>(-) Despesas Operacionais Tributárias</v>
      </c>
      <c r="I1634" s="87"/>
    </row>
    <row r="1635" spans="1:9" ht="12.75" customHeight="1" x14ac:dyDescent="0.2">
      <c r="A1635" s="94" t="s">
        <v>5431</v>
      </c>
      <c r="B1635" s="87" t="s">
        <v>719</v>
      </c>
      <c r="C1635" s="87" t="s">
        <v>319</v>
      </c>
      <c r="D1635" s="89">
        <v>-8034.21</v>
      </c>
      <c r="E1635" s="88"/>
      <c r="F1635" s="88"/>
      <c r="G1635" s="87" t="str">
        <f t="shared" si="25"/>
        <v>371210100TAXASSEM INFORMACAO</v>
      </c>
      <c r="H1635" s="87" t="str">
        <f>VLOOKUP(Tabela1[[#This Row],[CONCATENAR]],'Classificações - Demonstrações'!$A$5:$C$46003,2,)</f>
        <v>(-) Despesas Operacionais Tributárias</v>
      </c>
      <c r="I1635" s="87"/>
    </row>
    <row r="1636" spans="1:9" ht="12.75" customHeight="1" x14ac:dyDescent="0.2">
      <c r="A1636" s="94" t="s">
        <v>5432</v>
      </c>
      <c r="B1636" s="87" t="s">
        <v>719</v>
      </c>
      <c r="C1636" s="87" t="s">
        <v>319</v>
      </c>
      <c r="D1636" s="89">
        <v>-2508.1</v>
      </c>
      <c r="E1636" s="88"/>
      <c r="F1636" s="88"/>
      <c r="G1636" s="87" t="str">
        <f t="shared" si="25"/>
        <v>371220100TAXASSEM INFORMACAO</v>
      </c>
      <c r="H1636" s="87" t="str">
        <f>VLOOKUP(Tabela1[[#This Row],[CONCATENAR]],'Classificações - Demonstrações'!$A$5:$C$46003,2,)</f>
        <v>(-) Despesas Operacionais Tributárias</v>
      </c>
      <c r="I1636" s="87"/>
    </row>
    <row r="1637" spans="1:9" ht="12.75" customHeight="1" x14ac:dyDescent="0.2">
      <c r="A1637" s="94" t="s">
        <v>5433</v>
      </c>
      <c r="B1637" s="87" t="s">
        <v>4920</v>
      </c>
      <c r="C1637" s="87" t="s">
        <v>319</v>
      </c>
      <c r="D1637" s="89">
        <v>-121.88</v>
      </c>
      <c r="E1637" s="88"/>
      <c r="F1637" s="88"/>
      <c r="G1637" s="87" t="str">
        <f t="shared" si="25"/>
        <v>372310100CONTRIBUICAO P/ SERVICO ILUMINACAO PUBLICASEM INFORMACAO</v>
      </c>
      <c r="H1637" s="87" t="str">
        <f>VLOOKUP(Tabela1[[#This Row],[CONCATENAR]],'Classificações - Demonstrações'!$A$5:$C$46003,2,)</f>
        <v>(-) Despesas Operacionais Tributárias</v>
      </c>
      <c r="I1637" s="87"/>
    </row>
    <row r="1638" spans="1:9" ht="12.75" customHeight="1" x14ac:dyDescent="0.2">
      <c r="A1638" s="94" t="s">
        <v>5434</v>
      </c>
      <c r="B1638" s="87" t="s">
        <v>4921</v>
      </c>
      <c r="C1638" s="87" t="s">
        <v>319</v>
      </c>
      <c r="D1638" s="89">
        <v>-29357043.66</v>
      </c>
      <c r="E1638" s="88"/>
      <c r="F1638" s="88"/>
      <c r="G1638" s="87" t="str">
        <f t="shared" si="25"/>
        <v>382110100CUSTO DOS PRODUTOS VENDIDOS - CPVSEM INFORMACAO</v>
      </c>
      <c r="H1638" s="87" t="str">
        <f>VLOOKUP(Tabela1[[#This Row],[CONCATENAR]],'Classificações - Demonstrações'!$A$5:$C$46003,2,)</f>
        <v>(-) Custos dos Produtos Vendidos - CPV</v>
      </c>
      <c r="I1638" s="87"/>
    </row>
    <row r="1639" spans="1:9" ht="12.75" customHeight="1" x14ac:dyDescent="0.2">
      <c r="A1639" s="94" t="s">
        <v>5435</v>
      </c>
      <c r="B1639" s="87" t="s">
        <v>720</v>
      </c>
      <c r="C1639" s="87" t="s">
        <v>319</v>
      </c>
      <c r="D1639" s="89">
        <v>-1095635.92</v>
      </c>
      <c r="E1639" s="88"/>
      <c r="F1639" s="88"/>
      <c r="G1639" s="87" t="str">
        <f t="shared" si="25"/>
        <v>397110100VPD DE PROV. P/ RISCOS TRABALHISTASSEM INFORMACAO</v>
      </c>
      <c r="H1639" s="87" t="str">
        <f>VLOOKUP(Tabela1[[#This Row],[CONCATENAR]],'Classificações - Demonstrações'!$A$5:$C$46003,2,)</f>
        <v>Despesas Administrativas - Provisões Trabalhistas</v>
      </c>
      <c r="I1639" s="87"/>
    </row>
    <row r="1640" spans="1:9" ht="12.75" customHeight="1" x14ac:dyDescent="0.2">
      <c r="A1640" s="94" t="s">
        <v>5436</v>
      </c>
      <c r="B1640" s="87" t="s">
        <v>4685</v>
      </c>
      <c r="C1640" s="87" t="s">
        <v>319</v>
      </c>
      <c r="D1640" s="89">
        <v>-1000</v>
      </c>
      <c r="E1640" s="88"/>
      <c r="F1640" s="88"/>
      <c r="G1640" s="87" t="str">
        <f t="shared" si="25"/>
        <v>397410100VPD DE PROVISAO P/ RISCOS CIVEISSEM INFORMACAO</v>
      </c>
      <c r="H1640" s="87" t="str">
        <f>VLOOKUP(Tabela1[[#This Row],[CONCATENAR]],'Classificações - Demonstrações'!$A$5:$C$46003,2,)</f>
        <v>Despesas Administrativas - Provisões Cíveis</v>
      </c>
      <c r="I1640" s="87"/>
    </row>
    <row r="1641" spans="1:9" ht="12.75" customHeight="1" x14ac:dyDescent="0.2">
      <c r="A1641" s="94" t="s">
        <v>5437</v>
      </c>
      <c r="B1641" s="87" t="s">
        <v>4686</v>
      </c>
      <c r="C1641" s="87" t="s">
        <v>319</v>
      </c>
      <c r="D1641" s="89">
        <v>-22490.26</v>
      </c>
      <c r="E1641" s="88"/>
      <c r="F1641" s="88"/>
      <c r="G1641" s="87" t="str">
        <f t="shared" si="25"/>
        <v>399510100MULTAS ADMINISTRATIVASSEM INFORMACAO</v>
      </c>
      <c r="H1641" s="87" t="str">
        <f>VLOOKUP(Tabela1[[#This Row],[CONCATENAR]],'Classificações - Demonstrações'!$A$5:$C$46003,2,)</f>
        <v>Despesas Administrativas - Demais Despesas</v>
      </c>
      <c r="I1641" s="87"/>
    </row>
    <row r="1642" spans="1:9" ht="12.75" customHeight="1" x14ac:dyDescent="0.2">
      <c r="A1642" s="94" t="s">
        <v>5438</v>
      </c>
      <c r="B1642" s="87" t="s">
        <v>721</v>
      </c>
      <c r="C1642" s="87" t="s">
        <v>319</v>
      </c>
      <c r="D1642" s="89">
        <v>-523615.7</v>
      </c>
      <c r="E1642" s="88"/>
      <c r="F1642" s="88"/>
      <c r="G1642" s="87" t="str">
        <f t="shared" si="25"/>
        <v>399610100INDENIZACOESSEM INFORMACAO</v>
      </c>
      <c r="H1642" s="87" t="str">
        <f>VLOOKUP(Tabela1[[#This Row],[CONCATENAR]],'Classificações - Demonstrações'!$A$5:$C$46003,2,)</f>
        <v>Despesas Administrativas - Demais Despesas</v>
      </c>
      <c r="I1642" s="87"/>
    </row>
    <row r="1643" spans="1:9" ht="12.75" customHeight="1" x14ac:dyDescent="0.2">
      <c r="A1643" s="94" t="s">
        <v>5439</v>
      </c>
      <c r="B1643" s="87" t="s">
        <v>722</v>
      </c>
      <c r="C1643" s="87" t="s">
        <v>319</v>
      </c>
      <c r="D1643" s="89">
        <v>-2125037.35</v>
      </c>
      <c r="E1643" s="88"/>
      <c r="F1643" s="88"/>
      <c r="G1643" s="87" t="str">
        <f t="shared" si="25"/>
        <v>399910100VPD DECORRENTE DE FATOS GERADORES DIVERSOSSEM INFORMACAO</v>
      </c>
      <c r="H1643" s="87" t="str">
        <f>VLOOKUP(Tabela1[[#This Row],[CONCATENAR]],'Classificações - Demonstrações'!$A$5:$C$46003,2,)</f>
        <v>Despesas Administrativas - Demais Despesas</v>
      </c>
      <c r="I1643" s="87"/>
    </row>
    <row r="1644" spans="1:9" ht="12.75" customHeight="1" x14ac:dyDescent="0.2">
      <c r="A1644" s="94" t="s">
        <v>5440</v>
      </c>
      <c r="B1644" s="87" t="s">
        <v>723</v>
      </c>
      <c r="C1644" s="87" t="s">
        <v>319</v>
      </c>
      <c r="D1644" s="89">
        <v>12270072.949999999</v>
      </c>
      <c r="E1644" s="88"/>
      <c r="F1644" s="88"/>
      <c r="G1644" s="87" t="str">
        <f t="shared" si="25"/>
        <v>432110100VENDA BRUTA DE PRODUTOSSEM INFORMACAO</v>
      </c>
      <c r="H1644" s="87" t="str">
        <f>VLOOKUP(Tabela1[[#This Row],[CONCATENAR]],'Classificações - Demonstrações'!$A$5:$C$46003,2,)</f>
        <v>Receitas Industriais</v>
      </c>
      <c r="I1644" s="87"/>
    </row>
    <row r="1645" spans="1:9" ht="12.75" customHeight="1" x14ac:dyDescent="0.2">
      <c r="A1645" s="94" t="s">
        <v>5441</v>
      </c>
      <c r="B1645" s="87" t="s">
        <v>724</v>
      </c>
      <c r="C1645" s="87" t="s">
        <v>319</v>
      </c>
      <c r="D1645" s="89">
        <v>-291912.13</v>
      </c>
      <c r="E1645" s="88"/>
      <c r="F1645" s="88"/>
      <c r="G1645" s="87" t="str">
        <f t="shared" si="25"/>
        <v>432910600* ICMSSEM INFORMACAO</v>
      </c>
      <c r="H1645" s="87" t="str">
        <f>VLOOKUP(Tabela1[[#This Row],[CONCATENAR]],'Classificações - Demonstrações'!$A$5:$C$46003,2,)</f>
        <v>(-) Impostos Sobre Vendas de Produtos e Serviços</v>
      </c>
      <c r="I1645" s="87"/>
    </row>
    <row r="1646" spans="1:9" ht="12.75" customHeight="1" x14ac:dyDescent="0.2">
      <c r="A1646" s="94" t="s">
        <v>5442</v>
      </c>
      <c r="B1646" s="87" t="s">
        <v>725</v>
      </c>
      <c r="C1646" s="87" t="s">
        <v>319</v>
      </c>
      <c r="D1646" s="89">
        <v>581840.6</v>
      </c>
      <c r="E1646" s="88"/>
      <c r="F1646" s="88"/>
      <c r="G1646" s="87" t="str">
        <f t="shared" si="25"/>
        <v>433110100VALOR BRUTO EXPLORACAO BENS, DIR E SERVICOSSEM INFORMACAO</v>
      </c>
      <c r="H1646" s="87" t="str">
        <f>VLOOKUP(Tabela1[[#This Row],[CONCATENAR]],'Classificações - Demonstrações'!$A$5:$C$46003,2,)</f>
        <v>Receitas Industriais</v>
      </c>
      <c r="I1646" s="87"/>
    </row>
    <row r="1647" spans="1:9" ht="12.75" customHeight="1" x14ac:dyDescent="0.2">
      <c r="A1647" s="94" t="s">
        <v>5443</v>
      </c>
      <c r="B1647" s="87" t="s">
        <v>726</v>
      </c>
      <c r="C1647" s="87" t="s">
        <v>319</v>
      </c>
      <c r="D1647" s="89">
        <v>-9600.36</v>
      </c>
      <c r="E1647" s="88"/>
      <c r="F1647" s="88"/>
      <c r="G1647" s="87" t="str">
        <f t="shared" si="25"/>
        <v>433910700* PIS/PASEPSEM INFORMACAO</v>
      </c>
      <c r="H1647" s="87" t="str">
        <f>VLOOKUP(Tabela1[[#This Row],[CONCATENAR]],'Classificações - Demonstrações'!$A$5:$C$46003,2,)</f>
        <v>(-) Impostos Sobre Vendas de Produtos e Serviços</v>
      </c>
      <c r="I1647" s="87"/>
    </row>
    <row r="1648" spans="1:9" ht="12.75" customHeight="1" x14ac:dyDescent="0.2">
      <c r="A1648" s="94" t="s">
        <v>5444</v>
      </c>
      <c r="B1648" s="87" t="s">
        <v>727</v>
      </c>
      <c r="C1648" s="87" t="s">
        <v>319</v>
      </c>
      <c r="D1648" s="89">
        <v>-44219.89</v>
      </c>
      <c r="E1648" s="88"/>
      <c r="F1648" s="88"/>
      <c r="G1648" s="87" t="str">
        <f t="shared" si="25"/>
        <v>433910900* COFINSSEM INFORMACAO</v>
      </c>
      <c r="H1648" s="87" t="str">
        <f>VLOOKUP(Tabela1[[#This Row],[CONCATENAR]],'Classificações - Demonstrações'!$A$5:$C$46003,2,)</f>
        <v>(-) Impostos Sobre Vendas de Produtos e Serviços</v>
      </c>
      <c r="I1648" s="87"/>
    </row>
    <row r="1649" spans="1:9" ht="12.75" customHeight="1" x14ac:dyDescent="0.2">
      <c r="A1649" s="94" t="s">
        <v>5445</v>
      </c>
      <c r="B1649" s="87" t="s">
        <v>728</v>
      </c>
      <c r="C1649" s="87" t="s">
        <v>319</v>
      </c>
      <c r="D1649" s="89">
        <v>33098.879999999997</v>
      </c>
      <c r="E1649" s="88"/>
      <c r="F1649" s="88"/>
      <c r="G1649" s="87" t="str">
        <f t="shared" si="25"/>
        <v>443910101ATUALIZACAO MONETARIA POSITIVA/DEMAIS ATIVOSSEM INFORMACAO</v>
      </c>
      <c r="H1649" s="87" t="str">
        <f>VLOOKUP(Tabela1[[#This Row],[CONCATENAR]],'Classificações - Demonstrações'!$A$5:$C$46003,2,)</f>
        <v>Receitas Financeiras</v>
      </c>
      <c r="I1649" s="87"/>
    </row>
    <row r="1650" spans="1:9" ht="12.75" customHeight="1" x14ac:dyDescent="0.2">
      <c r="A1650" s="94" t="s">
        <v>5446</v>
      </c>
      <c r="B1650" s="87" t="s">
        <v>729</v>
      </c>
      <c r="C1650" s="87" t="s">
        <v>423</v>
      </c>
      <c r="D1650" s="89">
        <v>99736134.060000002</v>
      </c>
      <c r="E1650" s="88"/>
      <c r="F1650" s="88"/>
      <c r="G1650" s="87" t="str">
        <f t="shared" si="25"/>
        <v>451120200'= REPASSE RECEBIDO1000000000</v>
      </c>
      <c r="H1650" s="87" t="str">
        <f>VLOOKUP(Tabela1[[#This Row],[CONCATENAR]],'Classificações - Demonstrações'!$A$5:$C$46003,2,)</f>
        <v>Recursos Orçamentários do Tesouro Nacional</v>
      </c>
      <c r="I1650" s="87"/>
    </row>
    <row r="1651" spans="1:9" ht="12.75" customHeight="1" x14ac:dyDescent="0.2">
      <c r="A1651" s="94" t="s">
        <v>5447</v>
      </c>
      <c r="B1651" s="87" t="s">
        <v>730</v>
      </c>
      <c r="C1651" s="87" t="s">
        <v>423</v>
      </c>
      <c r="D1651" s="89">
        <v>897617.29</v>
      </c>
      <c r="E1651" s="88"/>
      <c r="F1651" s="88"/>
      <c r="G1651" s="87" t="str">
        <f t="shared" si="25"/>
        <v>451220100'= TRANSFERENCIAS RECEBIDAS PARA PGTO DE RP1000000000</v>
      </c>
      <c r="H1651" s="87" t="str">
        <f>VLOOKUP(Tabela1[[#This Row],[CONCATENAR]],'Classificações - Demonstrações'!$A$5:$C$46003,2,)</f>
        <v>Recursos Orçamentários do Tesouro Nacional</v>
      </c>
      <c r="I1651" s="87"/>
    </row>
    <row r="1652" spans="1:9" ht="12.75" customHeight="1" x14ac:dyDescent="0.2">
      <c r="A1652" s="94" t="s">
        <v>5448</v>
      </c>
      <c r="B1652" s="87" t="s">
        <v>731</v>
      </c>
      <c r="C1652" s="87" t="s">
        <v>319</v>
      </c>
      <c r="D1652" s="89">
        <v>9443865.6799999997</v>
      </c>
      <c r="E1652" s="88"/>
      <c r="F1652" s="88"/>
      <c r="G1652" s="87" t="str">
        <f t="shared" si="25"/>
        <v>451220300MOVIMENTACOES DE SALDOS PATRIMONIAISSEM INFORMACAO</v>
      </c>
      <c r="H1652" s="87" t="str">
        <f>VLOOKUP(Tabela1[[#This Row],[CONCATENAR]],'Classificações - Demonstrações'!$A$5:$C$46003,2,)</f>
        <v>Recursos Orçamentários do Tesouro Nacional</v>
      </c>
      <c r="I1652" s="87"/>
    </row>
    <row r="1653" spans="1:9" ht="12.75" customHeight="1" x14ac:dyDescent="0.2">
      <c r="A1653" s="94" t="s">
        <v>5449</v>
      </c>
      <c r="B1653" s="87" t="s">
        <v>732</v>
      </c>
      <c r="C1653" s="87" t="s">
        <v>319</v>
      </c>
      <c r="D1653" s="89">
        <v>1177037</v>
      </c>
      <c r="E1653" s="88"/>
      <c r="F1653" s="88"/>
      <c r="G1653" s="87" t="str">
        <f t="shared" si="25"/>
        <v>463110100GANHOS COM INCORPORACAO DE ATIVOS POR DESCOBESEM INFORMACAO</v>
      </c>
      <c r="H1653" s="87" t="str">
        <f>VLOOKUP(Tabela1[[#This Row],[CONCATENAR]],'Classificações - Demonstrações'!$A$5:$C$46003,2,)</f>
        <v>(-) Despesas Administrativas - Demais (Reversões)</v>
      </c>
      <c r="I1653" s="87"/>
    </row>
    <row r="1654" spans="1:9" ht="12.75" customHeight="1" x14ac:dyDescent="0.2">
      <c r="A1654" s="94" t="s">
        <v>6370</v>
      </c>
      <c r="B1654" s="87" t="s">
        <v>6371</v>
      </c>
      <c r="C1654" s="87" t="s">
        <v>319</v>
      </c>
      <c r="D1654" s="89">
        <v>2125037.35</v>
      </c>
      <c r="E1654" s="88"/>
      <c r="F1654" s="88"/>
      <c r="G1654" s="87" t="str">
        <f t="shared" si="25"/>
        <v>463410100GANHOS C/ INCORPORACAO DE ATIVOS POR PRODUCAOSEM INFORMACAO</v>
      </c>
      <c r="H1654" s="87" t="str">
        <f>VLOOKUP(Tabela1[[#This Row],[CONCATENAR]],'Classificações - Demonstrações'!$A$5:$C$46003,2,)</f>
        <v>(-) Despesas Administrativas - Demais (Reversões)</v>
      </c>
      <c r="I1654" s="87"/>
    </row>
    <row r="1655" spans="1:9" ht="12.75" customHeight="1" x14ac:dyDescent="0.2">
      <c r="A1655" s="94" t="s">
        <v>5450</v>
      </c>
      <c r="B1655" s="87" t="s">
        <v>733</v>
      </c>
      <c r="C1655" s="87" t="s">
        <v>319</v>
      </c>
      <c r="D1655" s="89">
        <v>49097194.909999996</v>
      </c>
      <c r="E1655" s="88"/>
      <c r="F1655" s="88"/>
      <c r="G1655" s="87" t="str">
        <f t="shared" si="25"/>
        <v>463910100OUTROS GANHOS COM INCORPORACAO DE ATIVOSEM INFORMACAO</v>
      </c>
      <c r="H1655" s="87" t="str">
        <f>VLOOKUP(Tabela1[[#This Row],[CONCATENAR]],'Classificações - Demonstrações'!$A$5:$C$46003,2,)</f>
        <v>(-) Despesas Administrativas - Demais (Reversões)</v>
      </c>
      <c r="I1655" s="87"/>
    </row>
    <row r="1656" spans="1:9" ht="12.75" customHeight="1" x14ac:dyDescent="0.2">
      <c r="A1656" s="94" t="s">
        <v>5451</v>
      </c>
      <c r="B1656" s="87" t="s">
        <v>734</v>
      </c>
      <c r="C1656" s="87" t="s">
        <v>319</v>
      </c>
      <c r="D1656" s="89">
        <v>86629218.519999996</v>
      </c>
      <c r="E1656" s="88"/>
      <c r="F1656" s="88"/>
      <c r="G1656" s="87" t="str">
        <f t="shared" si="25"/>
        <v>464110100GANHOS COM DESINCORPORACAO DE PASSIVOSSEM INFORMACAO</v>
      </c>
      <c r="H1656" s="87" t="str">
        <f>VLOOKUP(Tabela1[[#This Row],[CONCATENAR]],'Classificações - Demonstrações'!$A$5:$C$46003,2,)</f>
        <v>(-) Despesas Administrativas - Demais (Reversões)</v>
      </c>
      <c r="I1656" s="87"/>
    </row>
    <row r="1657" spans="1:9" ht="12.75" customHeight="1" x14ac:dyDescent="0.2">
      <c r="A1657" s="94" t="s">
        <v>5452</v>
      </c>
      <c r="B1657" s="87" t="s">
        <v>735</v>
      </c>
      <c r="C1657" s="87" t="s">
        <v>319</v>
      </c>
      <c r="D1657" s="89">
        <v>40552.14</v>
      </c>
      <c r="E1657" s="88"/>
      <c r="F1657" s="88"/>
      <c r="G1657" s="87" t="str">
        <f t="shared" si="25"/>
        <v>497210100REVERSAO DE AJUSTES DE PERDASSEM INFORMACAO</v>
      </c>
      <c r="H1657" s="87" t="str">
        <f>VLOOKUP(Tabela1[[#This Row],[CONCATENAR]],'Classificações - Demonstrações'!$A$5:$C$46003,2,)</f>
        <v>(-) Despesas Administrativas - Demais (Reversões)</v>
      </c>
      <c r="I1657" s="87"/>
    </row>
    <row r="1658" spans="1:9" ht="12.75" customHeight="1" x14ac:dyDescent="0.2">
      <c r="A1658" s="94" t="s">
        <v>5453</v>
      </c>
      <c r="B1658" s="87" t="s">
        <v>736</v>
      </c>
      <c r="C1658" s="87" t="s">
        <v>319</v>
      </c>
      <c r="D1658" s="89">
        <v>-260582.12</v>
      </c>
      <c r="E1658" s="88"/>
      <c r="F1658" s="88"/>
      <c r="G1658" s="87" t="str">
        <f t="shared" si="25"/>
        <v>499610200RESTITUICOESSEM INFORMACAO</v>
      </c>
      <c r="H1658" s="87" t="str">
        <f>VLOOKUP(Tabela1[[#This Row],[CONCATENAR]],'Classificações - Demonstrações'!$A$5:$C$46003,2,)</f>
        <v>(-) Despesas Administrativas - Demais (Reversões)</v>
      </c>
      <c r="I1658" s="87"/>
    </row>
    <row r="1659" spans="1:9" ht="12.75" customHeight="1" x14ac:dyDescent="0.2">
      <c r="A1659" s="94" t="s">
        <v>5454</v>
      </c>
      <c r="B1659" s="87" t="s">
        <v>737</v>
      </c>
      <c r="C1659" s="87" t="s">
        <v>319</v>
      </c>
      <c r="D1659" s="89">
        <v>1120762.21</v>
      </c>
      <c r="E1659" s="88"/>
      <c r="F1659" s="88"/>
      <c r="G1659" s="87" t="str">
        <f t="shared" si="25"/>
        <v>499910100VPA DECORRENTE DE FATORES GERADORES DIVERSOSSEM INFORMACAO</v>
      </c>
      <c r="H1659" s="87" t="str">
        <f>VLOOKUP(Tabela1[[#This Row],[CONCATENAR]],'Classificações - Demonstrações'!$A$5:$C$46003,2,)</f>
        <v>(-) Despesas Administrativas - Demais (Reversões)</v>
      </c>
      <c r="I1659" s="87"/>
    </row>
    <row r="1660" spans="1:9" x14ac:dyDescent="0.2">
      <c r="A1660" s="5"/>
      <c r="D1660" s="1">
        <f>SUBTOTAL(109,D5:D1659)</f>
        <v>1813751544.4000001</v>
      </c>
      <c r="E1660" s="1">
        <f>SUBTOTAL(109,E5:E1659)</f>
        <v>0</v>
      </c>
      <c r="F1660" s="1">
        <f>SUBTOTAL(109,Tabela1[dez/24])</f>
        <v>0</v>
      </c>
    </row>
    <row r="1661" spans="1:9" x14ac:dyDescent="0.2">
      <c r="D1661" s="7"/>
      <c r="E1661" s="7"/>
      <c r="F1661" s="7"/>
    </row>
    <row r="1662" spans="1:9" x14ac:dyDescent="0.2">
      <c r="D1662" s="7"/>
      <c r="E1662" s="7"/>
      <c r="F1662" s="7"/>
    </row>
    <row r="1663" spans="1:9" x14ac:dyDescent="0.2">
      <c r="D1663" s="1"/>
      <c r="E1663" s="1"/>
      <c r="F1663" s="1"/>
    </row>
    <row r="1664" spans="1:9" x14ac:dyDescent="0.2">
      <c r="D1664" s="1"/>
      <c r="E1664" s="7"/>
    </row>
    <row r="1665" spans="4:6" x14ac:dyDescent="0.2">
      <c r="D1665" s="1"/>
      <c r="E1665" s="1"/>
      <c r="F1665" s="1"/>
    </row>
    <row r="1666" spans="4:6" x14ac:dyDescent="0.2">
      <c r="D1666" s="1"/>
    </row>
    <row r="1667" spans="4:6" x14ac:dyDescent="0.2">
      <c r="D1667" s="1"/>
    </row>
    <row r="1668" spans="4:6" x14ac:dyDescent="0.2">
      <c r="D1668" s="1"/>
    </row>
    <row r="1669" spans="4:6" x14ac:dyDescent="0.2">
      <c r="D1669" s="1"/>
    </row>
    <row r="1674" spans="4:6" x14ac:dyDescent="0.2">
      <c r="F1674" s="7"/>
    </row>
    <row r="1675" spans="4:6" x14ac:dyDescent="0.2">
      <c r="F1675" s="7"/>
    </row>
    <row r="1682" spans="4:4" x14ac:dyDescent="0.2">
      <c r="D1682" s="106"/>
    </row>
    <row r="1683" spans="4:4" x14ac:dyDescent="0.2">
      <c r="D1683" s="106"/>
    </row>
    <row r="1684" spans="4:4" x14ac:dyDescent="0.2">
      <c r="D1684" s="107"/>
    </row>
    <row r="1685" spans="4:4" x14ac:dyDescent="0.2">
      <c r="D1685" s="106"/>
    </row>
  </sheetData>
  <mergeCells count="1">
    <mergeCell ref="G2:I2"/>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D09E-7A87-4870-B3AA-7077907E7659}">
  <sheetPr>
    <tabColor theme="0" tint="-0.34998626667073579"/>
    <pageSetUpPr fitToPage="1"/>
  </sheetPr>
  <dimension ref="A1:AC672"/>
  <sheetViews>
    <sheetView workbookViewId="0"/>
  </sheetViews>
  <sheetFormatPr defaultColWidth="9.140625" defaultRowHeight="15.75" outlineLevelRow="2" outlineLevelCol="1" x14ac:dyDescent="0.25"/>
  <cols>
    <col min="1" max="1" width="3.5703125" style="173" customWidth="1"/>
    <col min="2" max="2" width="3.28515625" style="173" customWidth="1"/>
    <col min="3" max="3" width="2.140625" style="173" customWidth="1"/>
    <col min="4" max="4" width="3.28515625" style="173" customWidth="1"/>
    <col min="5" max="5" width="85.140625" style="173" customWidth="1"/>
    <col min="6" max="6" width="7.7109375" style="173" customWidth="1"/>
    <col min="7" max="7" width="3.42578125" style="173" customWidth="1"/>
    <col min="8" max="8" width="25.140625" style="173" customWidth="1" outlineLevel="1"/>
    <col min="9" max="9" width="23.140625" style="173" customWidth="1"/>
    <col min="10" max="10" width="12.140625" style="236" customWidth="1"/>
    <col min="11" max="11" width="25" style="174" customWidth="1" outlineLevel="1"/>
    <col min="12" max="12" width="23.140625" style="173" customWidth="1"/>
    <col min="13" max="13" width="13.5703125" style="173" customWidth="1"/>
    <col min="14" max="14" width="13.7109375" style="173" customWidth="1"/>
    <col min="15" max="15" width="19.28515625" style="173" customWidth="1"/>
    <col min="16" max="16" width="24.7109375" style="174" customWidth="1"/>
    <col min="17" max="17" width="14" style="174" customWidth="1"/>
    <col min="18" max="22" width="14" style="173" customWidth="1"/>
    <col min="23" max="23" width="9.140625" style="173"/>
    <col min="24" max="24" width="18.42578125" style="175" bestFit="1" customWidth="1"/>
    <col min="25" max="25" width="12.42578125" style="173" bestFit="1" customWidth="1"/>
    <col min="26" max="26" width="67.7109375" style="173" bestFit="1" customWidth="1"/>
    <col min="27" max="27" width="45.85546875" style="173" bestFit="1" customWidth="1"/>
    <col min="28" max="28" width="17.28515625" style="173" bestFit="1" customWidth="1"/>
    <col min="29" max="16384" width="9.140625" style="173"/>
  </cols>
  <sheetData>
    <row r="1" spans="1:29" ht="18.75" customHeight="1" x14ac:dyDescent="0.25">
      <c r="B1" s="949"/>
      <c r="C1" s="949"/>
      <c r="D1" s="949"/>
      <c r="E1" s="949"/>
      <c r="F1" s="949"/>
      <c r="G1" s="949"/>
      <c r="H1" s="949"/>
      <c r="I1" s="949"/>
      <c r="J1" s="949"/>
      <c r="K1" s="949"/>
      <c r="L1" s="949"/>
      <c r="M1" s="949"/>
      <c r="N1" s="949"/>
    </row>
    <row r="2" spans="1:29" ht="18.75" customHeight="1" x14ac:dyDescent="0.25">
      <c r="B2" s="949"/>
      <c r="C2" s="949"/>
      <c r="D2" s="949"/>
      <c r="E2" s="949"/>
      <c r="F2" s="949"/>
      <c r="G2" s="949"/>
      <c r="H2" s="949"/>
      <c r="I2" s="949"/>
      <c r="J2" s="949"/>
      <c r="K2" s="949"/>
      <c r="L2" s="949"/>
      <c r="M2" s="949"/>
      <c r="N2" s="949"/>
    </row>
    <row r="3" spans="1:29" s="176" customFormat="1" ht="18.75" customHeight="1" x14ac:dyDescent="0.2">
      <c r="B3" s="949" t="s">
        <v>4486</v>
      </c>
      <c r="C3" s="949"/>
      <c r="D3" s="949"/>
      <c r="E3" s="949"/>
      <c r="F3" s="949"/>
      <c r="G3" s="949"/>
      <c r="H3" s="949"/>
      <c r="I3" s="949"/>
      <c r="J3" s="949"/>
      <c r="K3" s="949"/>
      <c r="L3" s="949"/>
      <c r="M3" s="949"/>
      <c r="N3" s="949"/>
      <c r="P3" s="177"/>
      <c r="Q3" s="177"/>
      <c r="X3" s="178"/>
    </row>
    <row r="4" spans="1:29" s="176" customFormat="1" ht="18.75" customHeight="1" x14ac:dyDescent="0.2">
      <c r="B4" s="949" t="e">
        <f>#REF!</f>
        <v>#REF!</v>
      </c>
      <c r="C4" s="949"/>
      <c r="D4" s="949"/>
      <c r="E4" s="949"/>
      <c r="F4" s="949"/>
      <c r="G4" s="949"/>
      <c r="H4" s="949"/>
      <c r="I4" s="949"/>
      <c r="J4" s="949"/>
      <c r="K4" s="949"/>
      <c r="L4" s="949"/>
      <c r="M4" s="949"/>
      <c r="N4" s="949"/>
      <c r="P4" s="177"/>
      <c r="Q4" s="177"/>
      <c r="X4" s="178"/>
    </row>
    <row r="5" spans="1:29" s="176" customFormat="1" ht="18.75" customHeight="1" x14ac:dyDescent="0.2">
      <c r="B5" s="949"/>
      <c r="C5" s="949"/>
      <c r="D5" s="949"/>
      <c r="E5" s="949"/>
      <c r="F5" s="949"/>
      <c r="G5" s="949"/>
      <c r="H5" s="949"/>
      <c r="I5" s="949"/>
      <c r="J5" s="949"/>
      <c r="K5" s="949"/>
      <c r="L5" s="949"/>
      <c r="M5" s="949"/>
      <c r="N5" s="949"/>
      <c r="P5" s="177"/>
      <c r="Q5" s="177"/>
      <c r="X5" s="178"/>
    </row>
    <row r="6" spans="1:29" s="176" customFormat="1" ht="18.75" customHeight="1" x14ac:dyDescent="0.2">
      <c r="B6" s="949" t="s">
        <v>4411</v>
      </c>
      <c r="C6" s="949"/>
      <c r="D6" s="949"/>
      <c r="E6" s="949"/>
      <c r="F6" s="949"/>
      <c r="G6" s="949"/>
      <c r="H6" s="949"/>
      <c r="I6" s="949"/>
      <c r="J6" s="949"/>
      <c r="K6" s="949"/>
      <c r="L6" s="949"/>
      <c r="M6" s="949"/>
      <c r="N6" s="949"/>
      <c r="P6" s="179"/>
      <c r="Q6" s="177"/>
      <c r="X6" s="178"/>
    </row>
    <row r="7" spans="1:29" s="176" customFormat="1" ht="18.75" customHeight="1" x14ac:dyDescent="0.2">
      <c r="B7" s="949"/>
      <c r="C7" s="949"/>
      <c r="D7" s="949"/>
      <c r="E7" s="949"/>
      <c r="F7" s="949"/>
      <c r="G7" s="949"/>
      <c r="H7" s="949"/>
      <c r="I7" s="949"/>
      <c r="J7" s="949"/>
      <c r="K7" s="949"/>
      <c r="L7" s="949"/>
      <c r="M7" s="949"/>
      <c r="N7" s="949"/>
      <c r="O7" s="180"/>
      <c r="P7" s="177"/>
      <c r="Q7" s="177"/>
      <c r="X7" s="178"/>
    </row>
    <row r="8" spans="1:29" s="176" customFormat="1" ht="18.75" customHeight="1" x14ac:dyDescent="0.2">
      <c r="B8" s="949"/>
      <c r="C8" s="949"/>
      <c r="D8" s="949"/>
      <c r="E8" s="949"/>
      <c r="F8" s="949"/>
      <c r="G8" s="949"/>
      <c r="H8" s="949"/>
      <c r="I8" s="949"/>
      <c r="J8" s="949"/>
      <c r="K8" s="949"/>
      <c r="L8" s="949"/>
      <c r="M8" s="949"/>
      <c r="N8" s="949"/>
      <c r="O8" s="180"/>
      <c r="P8" s="177"/>
      <c r="Q8" s="177"/>
      <c r="X8" s="178"/>
    </row>
    <row r="9" spans="1:29" s="176" customFormat="1" ht="18.75" customHeight="1" x14ac:dyDescent="0.2">
      <c r="A9" s="177"/>
      <c r="B9" s="949"/>
      <c r="C9" s="949"/>
      <c r="D9" s="949"/>
      <c r="E9" s="949"/>
      <c r="F9" s="949"/>
      <c r="G9" s="949"/>
      <c r="H9" s="949"/>
      <c r="I9" s="949"/>
      <c r="J9" s="949"/>
      <c r="K9" s="949"/>
      <c r="L9" s="949"/>
      <c r="M9" s="949"/>
      <c r="N9" s="949"/>
      <c r="O9" s="177"/>
      <c r="P9" s="177"/>
      <c r="Q9" s="177"/>
      <c r="X9" s="178"/>
    </row>
    <row r="10" spans="1:29" s="176" customFormat="1" ht="18.75" customHeight="1" x14ac:dyDescent="0.2">
      <c r="A10" s="177"/>
      <c r="B10" s="177"/>
      <c r="C10" s="177"/>
      <c r="D10" s="177"/>
      <c r="E10" s="177"/>
      <c r="F10" s="177"/>
      <c r="G10" s="177"/>
      <c r="H10" s="177"/>
      <c r="I10" s="177"/>
      <c r="J10" s="181"/>
      <c r="K10" s="177"/>
      <c r="L10" s="182" t="s">
        <v>4380</v>
      </c>
      <c r="M10" s="183"/>
      <c r="O10" s="177"/>
      <c r="P10" s="177"/>
      <c r="Q10" s="177"/>
      <c r="X10" s="178"/>
    </row>
    <row r="11" spans="1:29" s="176" customFormat="1" ht="18.75" customHeight="1" x14ac:dyDescent="0.2">
      <c r="B11" s="169"/>
      <c r="C11" s="184"/>
      <c r="D11" s="184"/>
      <c r="E11" s="185"/>
      <c r="F11" s="201"/>
      <c r="G11" s="186"/>
      <c r="H11" s="187" t="e">
        <f>#REF!</f>
        <v>#REF!</v>
      </c>
      <c r="I11" s="188" t="e">
        <f>H11</f>
        <v>#REF!</v>
      </c>
      <c r="J11" s="152" t="s">
        <v>4384</v>
      </c>
      <c r="K11" s="187">
        <v>45382</v>
      </c>
      <c r="L11" s="188">
        <f>K11</f>
        <v>45382</v>
      </c>
      <c r="M11" s="152" t="s">
        <v>4384</v>
      </c>
      <c r="N11" s="152" t="s">
        <v>4381</v>
      </c>
      <c r="P11" s="177"/>
      <c r="Q11" s="177"/>
      <c r="X11" s="178"/>
    </row>
    <row r="12" spans="1:29" s="176" customFormat="1" ht="21.75" customHeight="1" x14ac:dyDescent="0.2">
      <c r="B12" s="169"/>
      <c r="C12" s="184"/>
      <c r="D12" s="184"/>
      <c r="E12" s="184"/>
      <c r="F12" s="201"/>
      <c r="G12" s="189"/>
      <c r="H12" s="153" t="s">
        <v>4382</v>
      </c>
      <c r="I12" s="155" t="s">
        <v>4383</v>
      </c>
      <c r="J12" s="154" t="s">
        <v>4412</v>
      </c>
      <c r="K12" s="155" t="s">
        <v>4382</v>
      </c>
      <c r="L12" s="155" t="s">
        <v>4385</v>
      </c>
      <c r="M12" s="154" t="s">
        <v>4412</v>
      </c>
      <c r="N12" s="154" t="s">
        <v>4387</v>
      </c>
      <c r="P12" s="177"/>
      <c r="Q12" s="177"/>
      <c r="X12" s="178"/>
    </row>
    <row r="13" spans="1:29" s="176" customFormat="1" ht="8.25" customHeight="1" x14ac:dyDescent="0.2">
      <c r="B13" s="190"/>
      <c r="C13" s="190"/>
      <c r="D13" s="190"/>
      <c r="E13" s="190"/>
      <c r="F13" s="190"/>
      <c r="G13" s="190"/>
      <c r="H13" s="191"/>
      <c r="I13" s="140"/>
      <c r="J13" s="156"/>
      <c r="K13" s="192"/>
      <c r="L13" s="140"/>
      <c r="M13" s="156"/>
      <c r="N13" s="156"/>
      <c r="P13" s="177"/>
      <c r="Q13" s="177"/>
      <c r="X13" s="178"/>
    </row>
    <row r="14" spans="1:29" s="176" customFormat="1" ht="18.75" outlineLevel="1" x14ac:dyDescent="0.2">
      <c r="B14" s="349" t="s">
        <v>4413</v>
      </c>
      <c r="C14" s="349"/>
      <c r="D14" s="349"/>
      <c r="E14" s="349"/>
      <c r="F14" s="349"/>
      <c r="G14" s="349"/>
      <c r="H14" s="193" t="e">
        <f>SUM(H15:H17)</f>
        <v>#REF!</v>
      </c>
      <c r="I14" s="194" t="e">
        <f>SUM(I15:I17)</f>
        <v>#REF!</v>
      </c>
      <c r="J14" s="157" t="e">
        <f>J15+J16</f>
        <v>#REF!</v>
      </c>
      <c r="K14" s="195">
        <f>SUM(K15:K17)</f>
        <v>98215533.62999998</v>
      </c>
      <c r="L14" s="194">
        <f>SUM(L15:L17)</f>
        <v>98215</v>
      </c>
      <c r="M14" s="157">
        <f>M15+M16</f>
        <v>100</v>
      </c>
      <c r="N14" s="157" t="e">
        <f>IF(K14=0,0,((H14/K14)-1)*100)</f>
        <v>#REF!</v>
      </c>
      <c r="P14" s="177"/>
      <c r="Q14" s="177"/>
      <c r="X14" s="178"/>
      <c r="Y14" s="196"/>
      <c r="Z14" s="196"/>
      <c r="AA14" s="196"/>
      <c r="AB14" s="178"/>
      <c r="AC14" s="196"/>
    </row>
    <row r="15" spans="1:29" s="176" customFormat="1" ht="18.75" outlineLevel="1" x14ac:dyDescent="0.2">
      <c r="B15" s="114"/>
      <c r="C15" s="114"/>
      <c r="D15" s="114" t="s">
        <v>7124</v>
      </c>
      <c r="E15" s="114"/>
      <c r="F15" s="114"/>
      <c r="G15" s="114"/>
      <c r="H15" s="197">
        <f>SUMIF(Tabela1[Demonstrações - sintética],D15,Tabela1[mar/25])</f>
        <v>12851913.549999999</v>
      </c>
      <c r="I15" s="117">
        <f>ROUND((H15/1000),0)</f>
        <v>12852</v>
      </c>
      <c r="J15" s="158" t="e">
        <f>(I15/$I$14)*100</f>
        <v>#REF!</v>
      </c>
      <c r="K15" s="79">
        <v>6451267.3799999999</v>
      </c>
      <c r="L15" s="117">
        <f>ROUND((K15/1000),0)</f>
        <v>6451</v>
      </c>
      <c r="M15" s="158">
        <f>(L15/$L$14)*100</f>
        <v>6.5682431400498915</v>
      </c>
      <c r="N15" s="158">
        <f>IF(K15=0,0,((H15/K15)-1)*100)</f>
        <v>99.215329221093285</v>
      </c>
      <c r="P15" s="177"/>
      <c r="Q15" s="177"/>
      <c r="X15" s="178"/>
      <c r="Y15" s="196"/>
      <c r="Z15" s="196"/>
      <c r="AA15" s="196"/>
      <c r="AB15" s="178"/>
      <c r="AC15" s="196"/>
    </row>
    <row r="16" spans="1:29" s="176" customFormat="1" ht="18.75" outlineLevel="1" x14ac:dyDescent="0.2">
      <c r="B16" s="114"/>
      <c r="C16" s="114"/>
      <c r="D16" s="114" t="s">
        <v>7125</v>
      </c>
      <c r="E16" s="114"/>
      <c r="F16" s="114"/>
      <c r="G16" s="114"/>
      <c r="H16" s="197" t="e">
        <f>SUMIF(Tabela1[Demonstrações - sintética],D16,Tabela1[mar/25])+#REF!</f>
        <v>#REF!</v>
      </c>
      <c r="I16" s="117" t="e">
        <f>ROUND((H16/1000),0)</f>
        <v>#REF!</v>
      </c>
      <c r="J16" s="158" t="e">
        <f>(I16/$I$14)*100</f>
        <v>#REF!</v>
      </c>
      <c r="K16" s="159">
        <v>91764266.249999985</v>
      </c>
      <c r="L16" s="117">
        <f>ROUND((K16/1000),0)</f>
        <v>91764</v>
      </c>
      <c r="M16" s="158">
        <f>(L16/$L$14)*100</f>
        <v>93.431756859950113</v>
      </c>
      <c r="N16" s="158" t="e">
        <f>IF(K16=0,0,((H16/K16)-1)*100)</f>
        <v>#REF!</v>
      </c>
      <c r="O16" s="198"/>
      <c r="P16" s="177"/>
      <c r="Q16" s="177"/>
      <c r="T16" s="198"/>
      <c r="X16" s="178"/>
      <c r="Y16" s="196"/>
      <c r="Z16" s="196"/>
      <c r="AA16" s="196"/>
      <c r="AB16" s="178"/>
      <c r="AC16" s="196"/>
    </row>
    <row r="17" spans="2:29" s="176" customFormat="1" ht="16.5" outlineLevel="1" x14ac:dyDescent="0.2">
      <c r="H17" s="177"/>
      <c r="I17" s="199"/>
      <c r="J17" s="158"/>
      <c r="K17" s="591"/>
      <c r="L17" s="199"/>
      <c r="M17" s="158"/>
      <c r="N17" s="158"/>
      <c r="P17" s="177"/>
      <c r="Q17" s="177"/>
      <c r="X17" s="178"/>
      <c r="Y17" s="196"/>
      <c r="Z17" s="196"/>
      <c r="AA17" s="196"/>
      <c r="AB17" s="178"/>
      <c r="AC17" s="196"/>
    </row>
    <row r="18" spans="2:29" s="176" customFormat="1" ht="18.75" outlineLevel="1" x14ac:dyDescent="0.2">
      <c r="B18" s="350" t="s">
        <v>4414</v>
      </c>
      <c r="C18" s="350"/>
      <c r="D18" s="350"/>
      <c r="E18" s="350"/>
      <c r="F18" s="350"/>
      <c r="G18" s="350"/>
      <c r="H18" s="164">
        <f t="shared" ref="H18:M18" si="0">H19</f>
        <v>-345732.38</v>
      </c>
      <c r="I18" s="165">
        <f t="shared" si="0"/>
        <v>-346</v>
      </c>
      <c r="J18" s="160" t="e">
        <f t="shared" si="0"/>
        <v>#REF!</v>
      </c>
      <c r="K18" s="164">
        <f t="shared" si="0"/>
        <v>-44576.619999999995</v>
      </c>
      <c r="L18" s="117">
        <f t="shared" si="0"/>
        <v>-45</v>
      </c>
      <c r="M18" s="158">
        <f t="shared" si="0"/>
        <v>-4.5817848597464746E-2</v>
      </c>
      <c r="N18" s="158">
        <f>IF(K18=0,0,((H18/K18)-1)*100)</f>
        <v>675.59128529709085</v>
      </c>
      <c r="P18" s="177"/>
      <c r="Q18" s="177"/>
      <c r="X18" s="178"/>
      <c r="Y18" s="196"/>
      <c r="Z18" s="196"/>
      <c r="AA18" s="196"/>
      <c r="AB18" s="178"/>
      <c r="AC18" s="196"/>
    </row>
    <row r="19" spans="2:29" s="176" customFormat="1" ht="18.75" outlineLevel="1" x14ac:dyDescent="0.2">
      <c r="B19" s="114"/>
      <c r="C19" s="114"/>
      <c r="D19" s="114" t="s">
        <v>7126</v>
      </c>
      <c r="E19" s="114"/>
      <c r="F19" s="114"/>
      <c r="G19" s="114"/>
      <c r="H19" s="79">
        <f>SUMIF(Tabela1[Demonstrações - sintética],D19,Tabela1[mar/25])</f>
        <v>-345732.38</v>
      </c>
      <c r="I19" s="117">
        <f>ROUND((H19/1000),0)</f>
        <v>-346</v>
      </c>
      <c r="J19" s="160" t="e">
        <f>(I19/$I$14)*100</f>
        <v>#REF!</v>
      </c>
      <c r="K19" s="79">
        <v>-44576.619999999995</v>
      </c>
      <c r="L19" s="117">
        <f>ROUND((K19/1000),0)</f>
        <v>-45</v>
      </c>
      <c r="M19" s="158">
        <f>(L19/$L$14)*100</f>
        <v>-4.5817848597464746E-2</v>
      </c>
      <c r="N19" s="158">
        <f>IF(K19=0,0,((H19/K19)-1)*100)</f>
        <v>675.59128529709085</v>
      </c>
      <c r="P19" s="177"/>
      <c r="Q19" s="177"/>
      <c r="X19" s="178"/>
      <c r="Y19" s="196"/>
      <c r="Z19" s="196"/>
      <c r="AA19" s="196"/>
      <c r="AB19" s="178"/>
      <c r="AC19" s="196"/>
    </row>
    <row r="20" spans="2:29" s="176" customFormat="1" ht="18.75" x14ac:dyDescent="0.2">
      <c r="B20" s="114"/>
      <c r="C20" s="114"/>
      <c r="D20" s="114"/>
      <c r="E20" s="114"/>
      <c r="F20" s="114"/>
      <c r="G20" s="114"/>
      <c r="H20" s="142"/>
      <c r="I20" s="159"/>
      <c r="J20" s="160"/>
      <c r="K20" s="159"/>
      <c r="L20" s="159"/>
      <c r="M20" s="158"/>
      <c r="N20" s="158"/>
      <c r="P20" s="177"/>
      <c r="Q20" s="177"/>
      <c r="X20" s="178"/>
      <c r="Y20" s="196"/>
      <c r="Z20" s="196"/>
      <c r="AA20" s="196"/>
      <c r="AB20" s="178"/>
      <c r="AC20" s="196"/>
    </row>
    <row r="21" spans="2:29" s="176" customFormat="1" ht="18.75" x14ac:dyDescent="0.2">
      <c r="B21" s="161" t="s">
        <v>4415</v>
      </c>
      <c r="C21" s="161"/>
      <c r="D21" s="161"/>
      <c r="E21" s="161"/>
      <c r="F21" s="349" t="e">
        <f>#REF!+1</f>
        <v>#REF!</v>
      </c>
      <c r="G21" s="169"/>
      <c r="H21" s="440" t="e">
        <f>H14+H19</f>
        <v>#REF!</v>
      </c>
      <c r="I21" s="441" t="e">
        <f>I14+I18</f>
        <v>#REF!</v>
      </c>
      <c r="J21" s="432" t="e">
        <f>(I21/$I$14)*100</f>
        <v>#REF!</v>
      </c>
      <c r="K21" s="440">
        <f>K14+K18</f>
        <v>98170957.009999976</v>
      </c>
      <c r="L21" s="441">
        <f>L14+L18</f>
        <v>98170</v>
      </c>
      <c r="M21" s="433">
        <f>(L21/$L$14)*100</f>
        <v>99.954182151402534</v>
      </c>
      <c r="N21" s="433" t="e">
        <f>IF(K21=0,0,((H21/K21)-1)*100)</f>
        <v>#REF!</v>
      </c>
      <c r="P21" s="177"/>
      <c r="Q21" s="482" t="s">
        <v>7110</v>
      </c>
      <c r="X21" s="178"/>
      <c r="Y21" s="196"/>
      <c r="Z21" s="196"/>
      <c r="AA21" s="196"/>
      <c r="AB21" s="178"/>
      <c r="AC21" s="196"/>
    </row>
    <row r="22" spans="2:29" s="176" customFormat="1" ht="18.75" x14ac:dyDescent="0.2">
      <c r="B22" s="114"/>
      <c r="C22" s="114"/>
      <c r="D22" s="114" t="s">
        <v>2918</v>
      </c>
      <c r="E22" s="114"/>
      <c r="F22" s="114" t="e">
        <f>F21+1</f>
        <v>#REF!</v>
      </c>
      <c r="G22" s="114"/>
      <c r="H22" s="167">
        <f>SUMIF(Tabela1[Demonstrações - sintética],D22,Tabela1[mar/25])+P22</f>
        <v>-8696245.0599999987</v>
      </c>
      <c r="I22" s="117">
        <f>ROUND((H22/1000),0)</f>
        <v>-8696</v>
      </c>
      <c r="J22" s="160" t="e">
        <f>(I22/$I$14)*100</f>
        <v>#REF!</v>
      </c>
      <c r="K22" s="79">
        <v>-6016667.1200000001</v>
      </c>
      <c r="L22" s="117">
        <f>ROUND((K22/1000),0)</f>
        <v>-6017</v>
      </c>
      <c r="M22" s="158">
        <f>(L22/$L$14)*100</f>
        <v>-6.1263554446876745</v>
      </c>
      <c r="N22" s="158">
        <f>IF(K22=0,0,((H22/K22)-1)*100)</f>
        <v>44.53591808482831</v>
      </c>
      <c r="P22" s="482">
        <v>20660798.600000001</v>
      </c>
      <c r="Q22" s="483" t="s">
        <v>7013</v>
      </c>
      <c r="X22" s="178"/>
      <c r="Y22" s="196"/>
      <c r="Z22" s="196"/>
      <c r="AA22" s="196"/>
      <c r="AB22" s="178"/>
      <c r="AC22" s="196"/>
    </row>
    <row r="23" spans="2:29" s="176" customFormat="1" ht="16.5" x14ac:dyDescent="0.2">
      <c r="H23" s="177"/>
      <c r="I23" s="591"/>
      <c r="J23" s="160"/>
      <c r="K23" s="591"/>
      <c r="L23" s="591"/>
      <c r="M23" s="203"/>
      <c r="N23" s="203"/>
      <c r="P23" s="177"/>
      <c r="Q23" s="177"/>
      <c r="X23" s="178"/>
      <c r="Y23" s="196"/>
      <c r="Z23" s="196"/>
      <c r="AA23" s="196"/>
      <c r="AB23" s="178"/>
      <c r="AC23" s="204"/>
    </row>
    <row r="24" spans="2:29" s="176" customFormat="1" ht="18.75" x14ac:dyDescent="0.2">
      <c r="B24" s="161" t="s">
        <v>4416</v>
      </c>
      <c r="C24" s="161"/>
      <c r="D24" s="161"/>
      <c r="E24" s="161"/>
      <c r="F24" s="169"/>
      <c r="G24" s="169"/>
      <c r="H24" s="434" t="e">
        <f>SUM(H21:H23)</f>
        <v>#REF!</v>
      </c>
      <c r="I24" s="442" t="e">
        <f>SUM(I21:I23)</f>
        <v>#REF!</v>
      </c>
      <c r="J24" s="432" t="e">
        <f>(I24/$I$14)*100</f>
        <v>#REF!</v>
      </c>
      <c r="K24" s="435">
        <f>SUM(K21:K23)</f>
        <v>92154289.889999971</v>
      </c>
      <c r="L24" s="442">
        <f>SUM(L21:L23)</f>
        <v>92153</v>
      </c>
      <c r="M24" s="436">
        <f>(L24/$L$14)*100</f>
        <v>93.827826706714859</v>
      </c>
      <c r="N24" s="436" t="e">
        <f>IF(K24=0,0,((H24/K24)-1)*100)</f>
        <v>#REF!</v>
      </c>
      <c r="P24" s="177"/>
      <c r="Q24" s="177"/>
      <c r="X24" s="178"/>
    </row>
    <row r="25" spans="2:29" s="207" customFormat="1" ht="18.75" x14ac:dyDescent="0.2">
      <c r="B25" s="114"/>
      <c r="C25" s="114"/>
      <c r="D25" s="114"/>
      <c r="E25" s="114"/>
      <c r="F25" s="114"/>
      <c r="G25" s="114"/>
      <c r="H25" s="206"/>
      <c r="I25" s="140"/>
      <c r="J25" s="156"/>
      <c r="K25" s="140"/>
      <c r="L25" s="140"/>
      <c r="M25" s="163"/>
      <c r="N25" s="163"/>
      <c r="P25" s="177"/>
      <c r="Q25" s="205"/>
      <c r="R25" s="205"/>
      <c r="U25" s="176"/>
      <c r="V25" s="176"/>
      <c r="W25" s="176"/>
      <c r="X25" s="178"/>
      <c r="Y25" s="176"/>
    </row>
    <row r="26" spans="2:29" s="176" customFormat="1" ht="18.75" x14ac:dyDescent="0.2">
      <c r="B26" s="350" t="s">
        <v>4417</v>
      </c>
      <c r="C26" s="350"/>
      <c r="D26" s="350"/>
      <c r="E26" s="350"/>
      <c r="F26" s="350"/>
      <c r="G26" s="350"/>
      <c r="H26" s="164" t="e">
        <f>H27+H42+H44</f>
        <v>#REF!</v>
      </c>
      <c r="I26" s="165" t="e">
        <f>I27+I42</f>
        <v>#REF!</v>
      </c>
      <c r="J26" s="160" t="e">
        <f>+J27+J42+J50</f>
        <v>#REF!</v>
      </c>
      <c r="K26" s="164">
        <f>K27+K42+K44</f>
        <v>-95148655.989999995</v>
      </c>
      <c r="L26" s="165">
        <f>L27+L42</f>
        <v>-95147</v>
      </c>
      <c r="M26" s="160">
        <f>+M27+M42+M50</f>
        <v>-97.29063788626992</v>
      </c>
      <c r="N26" s="160" t="e">
        <f>IF(K26=0,0,((H26/K26)-1)*100)</f>
        <v>#REF!</v>
      </c>
      <c r="P26" s="177"/>
      <c r="Q26" s="177"/>
      <c r="X26" s="178"/>
    </row>
    <row r="27" spans="2:29" s="176" customFormat="1" ht="18.75" x14ac:dyDescent="0.2">
      <c r="B27" s="114"/>
      <c r="C27" s="114" t="s">
        <v>7128</v>
      </c>
      <c r="D27" s="114"/>
      <c r="E27" s="114"/>
      <c r="F27" s="114" t="e">
        <f>F22+1</f>
        <v>#REF!</v>
      </c>
      <c r="G27" s="114"/>
      <c r="H27" s="208" t="e">
        <f>SUM(H28:H40)-H33</f>
        <v>#REF!</v>
      </c>
      <c r="I27" s="641" t="e">
        <f>SUM(I28:I40)-I33</f>
        <v>#REF!</v>
      </c>
      <c r="J27" s="642" t="e">
        <f>(I27/$I$14)*100</f>
        <v>#REF!</v>
      </c>
      <c r="K27" s="643">
        <f>SUM(K28:K40)-K33</f>
        <v>-94490776.289999992</v>
      </c>
      <c r="L27" s="641">
        <f>SUM(L28:L40)-L33</f>
        <v>-94489</v>
      </c>
      <c r="M27" s="166">
        <f>(L27/$L$14)*100</f>
        <v>-96.206282136129914</v>
      </c>
      <c r="N27" s="166" t="e">
        <f>IF(K27=0,0,((H27/K27)-1)*100)</f>
        <v>#REF!</v>
      </c>
      <c r="P27" s="177"/>
      <c r="Q27" s="177"/>
      <c r="X27" s="178"/>
    </row>
    <row r="28" spans="2:29" s="176" customFormat="1" ht="18.75" outlineLevel="1" x14ac:dyDescent="0.2">
      <c r="E28" s="209" t="s">
        <v>7135</v>
      </c>
      <c r="H28" s="79">
        <f>SUMIF(Tabela1[Demonstrações - sintética],E28,Tabela1[mar/25])</f>
        <v>-38234144.130000003</v>
      </c>
      <c r="I28" s="119">
        <f>ROUND((H28/1000),0)</f>
        <v>-38234</v>
      </c>
      <c r="J28" s="210"/>
      <c r="K28" s="79">
        <v>-40029587.750000007</v>
      </c>
      <c r="L28" s="117">
        <f>ROUND((K28/1000),0)+1</f>
        <v>-40029</v>
      </c>
      <c r="M28" s="210"/>
      <c r="N28" s="210"/>
      <c r="O28" s="211"/>
      <c r="P28" s="177"/>
      <c r="Q28" s="177"/>
      <c r="X28" s="178"/>
    </row>
    <row r="29" spans="2:29" s="176" customFormat="1" ht="18.75" outlineLevel="1" x14ac:dyDescent="0.2">
      <c r="E29" s="209" t="s">
        <v>7154</v>
      </c>
      <c r="H29" s="79">
        <f>SUMIF(Tabela1[Demonstrações - sintética],E29,Tabela1[mar/25])</f>
        <v>-9309488.7800000012</v>
      </c>
      <c r="I29" s="119">
        <f>ROUND((H29/1000),0)</f>
        <v>-9309</v>
      </c>
      <c r="J29" s="210"/>
      <c r="K29" s="79">
        <v>-19703030.539999999</v>
      </c>
      <c r="L29" s="117">
        <f>ROUND((K29/1000),0)</f>
        <v>-19703</v>
      </c>
      <c r="M29" s="210"/>
      <c r="N29" s="210"/>
      <c r="P29" s="177"/>
      <c r="Q29" s="177"/>
      <c r="X29" s="178"/>
    </row>
    <row r="30" spans="2:29" s="176" customFormat="1" ht="18.75" outlineLevel="1" x14ac:dyDescent="0.2">
      <c r="E30" s="209" t="s">
        <v>7136</v>
      </c>
      <c r="H30" s="79">
        <f>SUMIF(Tabela1[Demonstrações - sintética],E30,Tabela1[mar/25])</f>
        <v>-258721.21</v>
      </c>
      <c r="I30" s="119">
        <f>ROUND((H30/1000),0)</f>
        <v>-259</v>
      </c>
      <c r="J30" s="210"/>
      <c r="K30" s="79">
        <v>-42709.17</v>
      </c>
      <c r="L30" s="117">
        <f>ROUND((K30/1000),0)</f>
        <v>-43</v>
      </c>
      <c r="M30" s="210"/>
      <c r="N30" s="210"/>
      <c r="P30" s="177"/>
      <c r="Q30" s="177"/>
      <c r="X30" s="178"/>
    </row>
    <row r="31" spans="2:29" s="176" customFormat="1" ht="18.75" outlineLevel="1" x14ac:dyDescent="0.2">
      <c r="E31" s="209" t="s">
        <v>7137</v>
      </c>
      <c r="H31" s="79">
        <f>SUMIF(Tabela1[Demonstrações - sintética],E31,Tabela1[mar/25])</f>
        <v>-9755661.6099999994</v>
      </c>
      <c r="I31" s="119">
        <f t="shared" ref="I31:I37" si="1">ROUND((H31/1000),0)</f>
        <v>-9756</v>
      </c>
      <c r="J31" s="210"/>
      <c r="K31" s="79">
        <v>-8653122.5999999996</v>
      </c>
      <c r="L31" s="117">
        <f t="shared" ref="L31:L37" si="2">ROUND((K31/1000),0)</f>
        <v>-8653</v>
      </c>
      <c r="M31" s="210"/>
      <c r="N31" s="210"/>
      <c r="O31" s="211"/>
      <c r="P31" s="177"/>
      <c r="Q31" s="177"/>
      <c r="X31" s="178"/>
    </row>
    <row r="32" spans="2:29" s="176" customFormat="1" ht="18.75" outlineLevel="1" x14ac:dyDescent="0.2">
      <c r="C32" s="176" t="s">
        <v>4418</v>
      </c>
      <c r="E32" s="209" t="s">
        <v>7139</v>
      </c>
      <c r="H32" s="79">
        <f>SUMIF(Tabela1[Demonstrações - sintética],E32,Tabela1[mar/25])</f>
        <v>-27777336.590000004</v>
      </c>
      <c r="I32" s="119">
        <f>ROUND((H32/1000),0)</f>
        <v>-27777</v>
      </c>
      <c r="J32" s="210"/>
      <c r="K32" s="167">
        <v>-28868763.530000005</v>
      </c>
      <c r="L32" s="117">
        <f>ROUND((K32/1000),0)</f>
        <v>-28869</v>
      </c>
      <c r="M32" s="210"/>
      <c r="N32" s="210"/>
      <c r="P32" s="177"/>
      <c r="Q32" s="177"/>
      <c r="X32" s="178"/>
    </row>
    <row r="33" spans="2:24" s="176" customFormat="1" ht="18.75" outlineLevel="1" x14ac:dyDescent="0.2">
      <c r="C33" s="176" t="s">
        <v>4418</v>
      </c>
      <c r="E33" s="209" t="s">
        <v>7138</v>
      </c>
      <c r="H33" s="79">
        <f>SUMIF(Tabela1[Demonstrações - sintética],E33,Tabela1[mar/25])</f>
        <v>0</v>
      </c>
      <c r="I33" s="119">
        <f t="shared" si="1"/>
        <v>0</v>
      </c>
      <c r="J33" s="210"/>
      <c r="K33" s="79">
        <v>0</v>
      </c>
      <c r="L33" s="117">
        <f t="shared" si="2"/>
        <v>0</v>
      </c>
      <c r="M33" s="210"/>
      <c r="N33" s="210"/>
      <c r="P33" s="177"/>
      <c r="Q33" s="177"/>
      <c r="X33" s="178"/>
    </row>
    <row r="34" spans="2:24" s="176" customFormat="1" ht="18.75" outlineLevel="1" x14ac:dyDescent="0.2">
      <c r="E34" s="209" t="s">
        <v>7140</v>
      </c>
      <c r="H34" s="79">
        <f>SUMIF(Tabela1[Demonstrações - sintética],E34,Tabela1[mar/25])</f>
        <v>-1434694.14</v>
      </c>
      <c r="I34" s="119">
        <f t="shared" si="1"/>
        <v>-1435</v>
      </c>
      <c r="J34" s="210"/>
      <c r="K34" s="79">
        <v>-1629268.47</v>
      </c>
      <c r="L34" s="117">
        <f t="shared" si="2"/>
        <v>-1629</v>
      </c>
      <c r="M34" s="210"/>
      <c r="N34" s="210"/>
      <c r="P34" s="177"/>
      <c r="Q34" s="177"/>
      <c r="X34" s="178"/>
    </row>
    <row r="35" spans="2:24" s="176" customFormat="1" ht="18.75" outlineLevel="1" x14ac:dyDescent="0.2">
      <c r="E35" s="209" t="s">
        <v>7141</v>
      </c>
      <c r="H35" s="79">
        <f>SUMIF(Tabela1[Demonstrações - sintética],E35,Tabela1[mar/25])</f>
        <v>-7115.6</v>
      </c>
      <c r="I35" s="119">
        <f t="shared" si="1"/>
        <v>-7</v>
      </c>
      <c r="J35" s="210"/>
      <c r="K35" s="79">
        <v>-10673.4</v>
      </c>
      <c r="L35" s="117">
        <f>ROUND((K35/1000),0)</f>
        <v>-11</v>
      </c>
      <c r="M35" s="210"/>
      <c r="N35" s="210"/>
      <c r="P35" s="177"/>
      <c r="Q35" s="212"/>
      <c r="X35" s="178"/>
    </row>
    <row r="36" spans="2:24" s="176" customFormat="1" ht="18.75" outlineLevel="1" x14ac:dyDescent="0.2">
      <c r="E36" s="209" t="s">
        <v>7142</v>
      </c>
      <c r="H36" s="79">
        <f>SUMIF(Tabela1[Demonstrações - sintética],E36,Tabela1[mar/25])</f>
        <v>0</v>
      </c>
      <c r="I36" s="117">
        <f t="shared" si="1"/>
        <v>0</v>
      </c>
      <c r="J36" s="210"/>
      <c r="K36" s="79">
        <v>0</v>
      </c>
      <c r="L36" s="117">
        <f t="shared" si="2"/>
        <v>0</v>
      </c>
      <c r="M36" s="210"/>
      <c r="N36" s="210"/>
      <c r="P36" s="177"/>
      <c r="Q36" s="177"/>
      <c r="X36" s="178"/>
    </row>
    <row r="37" spans="2:24" s="176" customFormat="1" ht="18.75" outlineLevel="1" x14ac:dyDescent="0.2">
      <c r="E37" s="209" t="s">
        <v>7143</v>
      </c>
      <c r="H37" s="79">
        <f>SUMIF(Tabela1[Demonstrações - sintética],E37,Tabela1[mar/25])</f>
        <v>-1000</v>
      </c>
      <c r="I37" s="117">
        <f t="shared" si="1"/>
        <v>-1</v>
      </c>
      <c r="J37" s="210"/>
      <c r="K37" s="79">
        <v>0</v>
      </c>
      <c r="L37" s="117">
        <f t="shared" si="2"/>
        <v>0</v>
      </c>
      <c r="M37" s="210"/>
      <c r="N37" s="210"/>
      <c r="P37" s="177"/>
      <c r="Q37" s="177"/>
      <c r="X37" s="178"/>
    </row>
    <row r="38" spans="2:24" s="176" customFormat="1" ht="18.75" outlineLevel="1" x14ac:dyDescent="0.2">
      <c r="E38" s="209" t="s">
        <v>7144</v>
      </c>
      <c r="H38" s="79">
        <f>SUMIF(Tabela1[Demonstrações - sintética],E38,Tabela1[mar/25])</f>
        <v>-1095635.92</v>
      </c>
      <c r="I38" s="117">
        <f>ROUND((H38/1000),0)</f>
        <v>-1096</v>
      </c>
      <c r="J38" s="210"/>
      <c r="K38" s="79">
        <v>-290370.3</v>
      </c>
      <c r="L38" s="117">
        <f>ROUND((K38/1000),0)</f>
        <v>-290</v>
      </c>
      <c r="M38" s="210"/>
      <c r="N38" s="210"/>
      <c r="P38" s="177"/>
      <c r="Q38" s="177"/>
      <c r="S38" s="177"/>
      <c r="U38" s="198"/>
      <c r="X38" s="178"/>
    </row>
    <row r="39" spans="2:24" s="176" customFormat="1" ht="18.75" outlineLevel="1" x14ac:dyDescent="0.2">
      <c r="C39" s="176" t="s">
        <v>4418</v>
      </c>
      <c r="E39" s="209" t="s">
        <v>7145</v>
      </c>
      <c r="H39" s="167">
        <f>SUMIF(Tabela1[Demonstrações - sintética],E39,Tabela1[mar/25])</f>
        <v>-143741452.32999998</v>
      </c>
      <c r="I39" s="117">
        <f>ROUND((H39/1000),0)</f>
        <v>-143741</v>
      </c>
      <c r="J39" s="210"/>
      <c r="K39" s="167">
        <v>-18468623.649999999</v>
      </c>
      <c r="L39" s="117">
        <f>ROUND((K39/1000),0)</f>
        <v>-18469</v>
      </c>
      <c r="M39" s="210"/>
      <c r="N39" s="210"/>
      <c r="Q39" s="482" t="s">
        <v>7110</v>
      </c>
      <c r="X39" s="178"/>
    </row>
    <row r="40" spans="2:24" s="176" customFormat="1" ht="18.75" outlineLevel="1" x14ac:dyDescent="0.2">
      <c r="C40" s="176" t="s">
        <v>4418</v>
      </c>
      <c r="E40" s="213" t="s">
        <v>7146</v>
      </c>
      <c r="F40" s="214"/>
      <c r="G40" s="214"/>
      <c r="H40" s="167" t="e">
        <f>SUMIF(Tabela1[Demonstrações - sintética],E40,Tabela1[mar/25])-#REF!-P40</f>
        <v>#REF!</v>
      </c>
      <c r="I40" s="117" t="e">
        <f>ROUND((H40/1000),0)</f>
        <v>#REF!</v>
      </c>
      <c r="J40" s="210"/>
      <c r="K40" s="167">
        <v>23205373.119999997</v>
      </c>
      <c r="L40" s="117">
        <f>ROUND((K40/1000),0)+2</f>
        <v>23207</v>
      </c>
      <c r="M40" s="210"/>
      <c r="N40" s="210"/>
      <c r="O40" s="211"/>
      <c r="P40" s="482">
        <v>20660798.600000001</v>
      </c>
      <c r="Q40" s="483" t="s">
        <v>7014</v>
      </c>
      <c r="X40" s="178"/>
    </row>
    <row r="41" spans="2:24" s="176" customFormat="1" ht="18.75" outlineLevel="1" x14ac:dyDescent="0.2">
      <c r="H41" s="215"/>
      <c r="I41" s="105"/>
      <c r="J41" s="644"/>
      <c r="K41" s="105"/>
      <c r="L41" s="105"/>
      <c r="M41" s="216"/>
      <c r="N41" s="216"/>
      <c r="P41" s="177"/>
      <c r="Q41" s="177"/>
      <c r="X41" s="178"/>
    </row>
    <row r="42" spans="2:24" s="176" customFormat="1" ht="18.75" outlineLevel="1" x14ac:dyDescent="0.2">
      <c r="C42" s="114" t="s">
        <v>7129</v>
      </c>
      <c r="D42" s="114"/>
      <c r="E42" s="114"/>
      <c r="F42" s="114"/>
      <c r="G42" s="114"/>
      <c r="H42" s="167">
        <f>SUMIF(Tabela1[Demonstrações - sintética],C42,Tabela1[mar/25])</f>
        <v>-1613787.95</v>
      </c>
      <c r="I42" s="117">
        <f>ROUND((H42/1000),0)</f>
        <v>-1614</v>
      </c>
      <c r="J42" s="645" t="e">
        <f>(I42/$I$14)*100</f>
        <v>#REF!</v>
      </c>
      <c r="K42" s="167">
        <v>-657879.69999999995</v>
      </c>
      <c r="L42" s="117">
        <f>ROUND((K42/1000),0)</f>
        <v>-658</v>
      </c>
      <c r="M42" s="168">
        <f>(L42/$L$14)*100</f>
        <v>-0.6699587639362623</v>
      </c>
      <c r="N42" s="168">
        <f>IF(K42=0,0,((H42/K42)-1)*100)</f>
        <v>145.30137500822721</v>
      </c>
      <c r="P42" s="177"/>
      <c r="Q42" s="177"/>
      <c r="X42" s="178"/>
    </row>
    <row r="43" spans="2:24" s="176" customFormat="1" ht="18.75" outlineLevel="1" x14ac:dyDescent="0.2">
      <c r="H43" s="215"/>
      <c r="I43" s="105"/>
      <c r="J43" s="644"/>
      <c r="K43" s="226"/>
      <c r="L43" s="105"/>
      <c r="M43" s="216"/>
      <c r="N43" s="216"/>
      <c r="P43" s="177"/>
      <c r="Q43" s="177"/>
      <c r="X43" s="178"/>
    </row>
    <row r="44" spans="2:24" s="176" customFormat="1" ht="18.75" outlineLevel="1" x14ac:dyDescent="0.25">
      <c r="C44" s="114" t="s">
        <v>7156</v>
      </c>
      <c r="H44" s="677">
        <f>SUM(H45:H46)</f>
        <v>0</v>
      </c>
      <c r="I44" s="117">
        <f>ROUND((H44/1000),0)</f>
        <v>0</v>
      </c>
      <c r="J44" s="645" t="e">
        <f>(I44/$I$14)*100</f>
        <v>#REF!</v>
      </c>
      <c r="K44" s="677">
        <f>SUM(K45:K46)</f>
        <v>0</v>
      </c>
      <c r="L44" s="117">
        <f>ROUND((K44/1000),0)</f>
        <v>0</v>
      </c>
      <c r="M44" s="168">
        <f>(L44/$L$14)*100</f>
        <v>0</v>
      </c>
      <c r="N44" s="168">
        <f>IF(K44=0,0,((H44/K44)-1)*100)</f>
        <v>0</v>
      </c>
      <c r="P44" s="177"/>
      <c r="Q44" s="177"/>
      <c r="X44" s="178"/>
    </row>
    <row r="45" spans="2:24" s="176" customFormat="1" ht="18.75" outlineLevel="1" x14ac:dyDescent="0.2">
      <c r="B45" s="114"/>
      <c r="C45" s="114"/>
      <c r="D45" s="114"/>
      <c r="E45" s="114" t="s">
        <v>7157</v>
      </c>
      <c r="F45" s="114"/>
      <c r="G45" s="114"/>
      <c r="H45" s="79">
        <f>SUMIF(Tabela1[Demonstrações - sintética],E45,Tabela1[mar/25])</f>
        <v>0</v>
      </c>
      <c r="I45" s="117">
        <f>ROUND((H45/1000),0)</f>
        <v>0</v>
      </c>
      <c r="J45" s="162" t="e">
        <f>(I45/$I$14)*100</f>
        <v>#REF!</v>
      </c>
      <c r="K45" s="79">
        <f>SUMIF(Tabela1[Demonstrações - sintética],D45,Tabela1[mar/24])</f>
        <v>0</v>
      </c>
      <c r="L45" s="117">
        <v>0</v>
      </c>
      <c r="M45" s="162">
        <f>(L45/$L$14)*100</f>
        <v>0</v>
      </c>
      <c r="N45" s="162">
        <f>IF(K45=0,0,((H45/K45)-1)*100)</f>
        <v>0</v>
      </c>
      <c r="P45" s="177"/>
      <c r="Q45" s="177"/>
      <c r="X45" s="178"/>
    </row>
    <row r="46" spans="2:24" s="176" customFormat="1" ht="18.75" outlineLevel="1" x14ac:dyDescent="0.2">
      <c r="B46" s="114"/>
      <c r="C46" s="114"/>
      <c r="D46" s="114"/>
      <c r="E46" s="114" t="s">
        <v>7158</v>
      </c>
      <c r="F46" s="114"/>
      <c r="G46" s="114"/>
      <c r="H46" s="79">
        <f>SUMIF(Tabela1[Demonstrações - sintética],E46,Tabela1[mar/25])</f>
        <v>0</v>
      </c>
      <c r="I46" s="117">
        <v>0</v>
      </c>
      <c r="J46" s="162" t="e">
        <f>(I46/$I$14)*100</f>
        <v>#REF!</v>
      </c>
      <c r="K46" s="117">
        <v>0</v>
      </c>
      <c r="L46" s="117">
        <v>0</v>
      </c>
      <c r="M46" s="162">
        <f>(L46/$L$14)*100</f>
        <v>0</v>
      </c>
      <c r="N46" s="162">
        <f>IF(K46=0,0,((H46/K46)-1)*100)</f>
        <v>0</v>
      </c>
      <c r="P46" s="177"/>
      <c r="Q46" s="177"/>
      <c r="X46" s="178"/>
    </row>
    <row r="47" spans="2:24" s="176" customFormat="1" ht="18.75" x14ac:dyDescent="0.25">
      <c r="B47" s="218"/>
      <c r="C47" s="218"/>
      <c r="H47" s="79"/>
      <c r="I47" s="117"/>
      <c r="J47" s="646"/>
      <c r="K47" s="79"/>
      <c r="L47" s="117"/>
      <c r="M47" s="443"/>
      <c r="N47" s="443"/>
      <c r="O47" s="211"/>
      <c r="P47" s="174"/>
      <c r="Q47" s="174"/>
      <c r="R47" s="173"/>
      <c r="S47" s="173"/>
      <c r="X47" s="178"/>
    </row>
    <row r="48" spans="2:24" s="176" customFormat="1" ht="18.75" x14ac:dyDescent="0.2">
      <c r="B48" s="161" t="s">
        <v>7159</v>
      </c>
      <c r="C48" s="161"/>
      <c r="D48" s="161"/>
      <c r="E48" s="161"/>
      <c r="F48" s="169"/>
      <c r="G48" s="169"/>
      <c r="H48" s="437" t="e">
        <f>H24+H26</f>
        <v>#REF!</v>
      </c>
      <c r="I48" s="444" t="e">
        <f>I24+I26</f>
        <v>#REF!</v>
      </c>
      <c r="J48" s="438" t="e">
        <f>(I48/$I$14)*100</f>
        <v>#REF!</v>
      </c>
      <c r="K48" s="439">
        <f>K24+K26</f>
        <v>-2994366.1000000238</v>
      </c>
      <c r="L48" s="444">
        <f>L24+L26</f>
        <v>-2994</v>
      </c>
      <c r="M48" s="438">
        <f>(L48/$L$14)*100</f>
        <v>-3.0484141933513209</v>
      </c>
      <c r="N48" s="438" t="e">
        <f>IF(K48=0,0,((H48/K48)-1)*100)</f>
        <v>#REF!</v>
      </c>
      <c r="O48" s="211"/>
      <c r="P48" s="177"/>
      <c r="Q48" s="177"/>
      <c r="X48" s="178"/>
    </row>
    <row r="49" spans="2:24" s="176" customFormat="1" ht="18.75" x14ac:dyDescent="0.2">
      <c r="B49" s="206"/>
      <c r="C49" s="206"/>
      <c r="D49" s="206"/>
      <c r="E49" s="206"/>
      <c r="F49" s="114"/>
      <c r="G49" s="114"/>
      <c r="H49" s="215"/>
      <c r="I49" s="117"/>
      <c r="J49" s="171"/>
      <c r="K49" s="105"/>
      <c r="L49" s="117"/>
      <c r="M49" s="171"/>
      <c r="N49" s="171"/>
      <c r="P49" s="177"/>
      <c r="Q49" s="177"/>
      <c r="X49" s="178"/>
    </row>
    <row r="50" spans="2:24" s="176" customFormat="1" ht="18.75" x14ac:dyDescent="0.2">
      <c r="B50" s="206"/>
      <c r="C50" s="206" t="s">
        <v>7130</v>
      </c>
      <c r="D50" s="206"/>
      <c r="E50" s="206"/>
      <c r="F50" s="114" t="e">
        <f>F27+1</f>
        <v>#REF!</v>
      </c>
      <c r="G50" s="114"/>
      <c r="H50" s="215">
        <f>SUM(H51:H52)</f>
        <v>0</v>
      </c>
      <c r="I50" s="117">
        <f>SUM(I51:I52)</f>
        <v>0</v>
      </c>
      <c r="J50" s="162" t="e">
        <f>(I50/$I$14)*100</f>
        <v>#REF!</v>
      </c>
      <c r="K50" s="105">
        <f>SUM(K51:K52)</f>
        <v>-406978.46</v>
      </c>
      <c r="L50" s="117">
        <f>SUM(L51:L52)</f>
        <v>-407</v>
      </c>
      <c r="M50" s="162">
        <f>(L50/$L$14)*100</f>
        <v>-0.41439698620373666</v>
      </c>
      <c r="N50" s="162">
        <f>IF(K50=0,0,((H50/K50)-1)*100)</f>
        <v>-100</v>
      </c>
      <c r="O50" s="211"/>
      <c r="X50" s="178"/>
    </row>
    <row r="51" spans="2:24" s="176" customFormat="1" ht="18.75" outlineLevel="2" x14ac:dyDescent="0.2">
      <c r="B51" s="206"/>
      <c r="C51" s="206"/>
      <c r="D51" s="206"/>
      <c r="E51" s="206" t="s">
        <v>7131</v>
      </c>
      <c r="F51" s="114"/>
      <c r="G51" s="114"/>
      <c r="H51" s="79">
        <f>SUMIF(Tabela1[Demonstrações - sintética],E51,Tabela1[mar/25])</f>
        <v>0</v>
      </c>
      <c r="I51" s="117">
        <f>ROUND((H51/1000),0)</f>
        <v>0</v>
      </c>
      <c r="J51" s="162" t="e">
        <f>(I51/$I$14)*100</f>
        <v>#REF!</v>
      </c>
      <c r="K51" s="79">
        <v>-462032.28</v>
      </c>
      <c r="L51" s="117">
        <f>ROUND((K51/1000),0)</f>
        <v>-462</v>
      </c>
      <c r="M51" s="162">
        <f>(L51/$L$14)*100</f>
        <v>-0.47039657893397141</v>
      </c>
      <c r="N51" s="162">
        <f>IF(K51=0,0,((H51/K51)-1)*100)</f>
        <v>-100</v>
      </c>
      <c r="O51" s="211"/>
      <c r="X51" s="178"/>
    </row>
    <row r="52" spans="2:24" s="176" customFormat="1" ht="18.75" outlineLevel="2" x14ac:dyDescent="0.2">
      <c r="B52" s="206"/>
      <c r="C52" s="206"/>
      <c r="D52" s="206"/>
      <c r="E52" s="206" t="s">
        <v>7132</v>
      </c>
      <c r="F52" s="114"/>
      <c r="G52" s="114"/>
      <c r="H52" s="79">
        <f>SUMIF(Tabela1[Demonstrações - sintética],E52,Tabela1[mar/25])</f>
        <v>0</v>
      </c>
      <c r="I52" s="117">
        <f>ROUND((H52/1000),0)</f>
        <v>0</v>
      </c>
      <c r="J52" s="162" t="e">
        <f>(I52/$I$14)*100</f>
        <v>#REF!</v>
      </c>
      <c r="K52" s="79">
        <v>55053.82</v>
      </c>
      <c r="L52" s="117">
        <f>ROUND((K52/1000),0)</f>
        <v>55</v>
      </c>
      <c r="M52" s="162">
        <f>(L52/$L$14)*100</f>
        <v>5.5999592730234686E-2</v>
      </c>
      <c r="N52" s="162">
        <f>IF(K52=0,0,((H52/K52)-1)*100)</f>
        <v>-100</v>
      </c>
      <c r="X52" s="178"/>
    </row>
    <row r="53" spans="2:24" s="176" customFormat="1" ht="18.75" x14ac:dyDescent="0.2">
      <c r="B53" s="206"/>
      <c r="C53" s="206"/>
      <c r="D53" s="206"/>
      <c r="E53" s="206"/>
      <c r="F53" s="114"/>
      <c r="G53" s="114"/>
      <c r="H53" s="219"/>
      <c r="I53" s="105"/>
      <c r="J53" s="647"/>
      <c r="K53" s="105"/>
      <c r="L53" s="105"/>
      <c r="M53" s="172"/>
      <c r="N53" s="172"/>
      <c r="P53" s="177"/>
      <c r="Q53" s="177"/>
      <c r="X53" s="178"/>
    </row>
    <row r="54" spans="2:24" s="176" customFormat="1" ht="18.75" x14ac:dyDescent="0.2">
      <c r="B54" s="161" t="s">
        <v>7160</v>
      </c>
      <c r="C54" s="161"/>
      <c r="D54" s="161"/>
      <c r="E54" s="161"/>
      <c r="F54" s="169"/>
      <c r="G54" s="169"/>
      <c r="H54" s="437" t="e">
        <f>H48+H50</f>
        <v>#REF!</v>
      </c>
      <c r="I54" s="444" t="e">
        <f>I48+I50</f>
        <v>#REF!</v>
      </c>
      <c r="J54" s="438" t="e">
        <f>(I54/$I$14)*100</f>
        <v>#REF!</v>
      </c>
      <c r="K54" s="439">
        <f>K48+K50</f>
        <v>-3401344.5600000238</v>
      </c>
      <c r="L54" s="444">
        <f>L48+L50</f>
        <v>-3401</v>
      </c>
      <c r="M54" s="438">
        <f>(L54/$L$14)*100</f>
        <v>-3.4628111795550578</v>
      </c>
      <c r="N54" s="438" t="e">
        <f>IF(K54=0,0,((H54/K54)-1)*100)</f>
        <v>#REF!</v>
      </c>
      <c r="P54" s="177"/>
      <c r="Q54" s="177"/>
      <c r="R54" s="211"/>
      <c r="X54" s="178"/>
    </row>
    <row r="55" spans="2:24" s="176" customFormat="1" ht="18.75" x14ac:dyDescent="0.2">
      <c r="B55" s="114"/>
      <c r="C55" s="114"/>
      <c r="D55" s="114"/>
      <c r="E55" s="114"/>
      <c r="F55" s="114"/>
      <c r="G55" s="114"/>
      <c r="H55" s="219"/>
      <c r="I55" s="220"/>
      <c r="J55" s="172"/>
      <c r="K55" s="220"/>
      <c r="L55" s="220"/>
      <c r="M55" s="172"/>
      <c r="N55" s="172"/>
      <c r="P55" s="177"/>
      <c r="Q55" s="177"/>
      <c r="X55" s="178"/>
    </row>
    <row r="56" spans="2:24" s="176" customFormat="1" ht="18.75" x14ac:dyDescent="0.2">
      <c r="B56" s="114"/>
      <c r="C56" s="222" t="s">
        <v>7133</v>
      </c>
      <c r="D56" s="223"/>
      <c r="E56" s="223"/>
      <c r="F56" s="224"/>
      <c r="G56" s="224"/>
      <c r="H56" s="79">
        <f>SUMIF(Tabela1[Demonstrações - sintética],C56,Tabela1[mar/25])</f>
        <v>0</v>
      </c>
      <c r="I56" s="117">
        <f>ROUND((H56/1000),0)</f>
        <v>0</v>
      </c>
      <c r="J56" s="162" t="e">
        <f>(I56/$I$14)*100</f>
        <v>#REF!</v>
      </c>
      <c r="K56" s="79">
        <f>SUMIF(Tabela1[Demonstrações - sintética],C56,Tabela1[mar/24])</f>
        <v>0</v>
      </c>
      <c r="L56" s="117">
        <f>ROUND((K56/1000),0)</f>
        <v>0</v>
      </c>
      <c r="M56" s="162">
        <f>(L56/$L$14)*100</f>
        <v>0</v>
      </c>
      <c r="N56" s="160">
        <f>IF(K56=0,0,((H56/K56)-1)*100)</f>
        <v>0</v>
      </c>
      <c r="P56" s="177"/>
      <c r="Q56" s="177"/>
      <c r="R56" s="225"/>
      <c r="S56" s="177"/>
      <c r="X56" s="178"/>
    </row>
    <row r="57" spans="2:24" s="176" customFormat="1" ht="18.75" x14ac:dyDescent="0.2">
      <c r="B57" s="114"/>
      <c r="C57" s="222" t="s">
        <v>7134</v>
      </c>
      <c r="D57" s="222"/>
      <c r="E57" s="222"/>
      <c r="F57" s="114"/>
      <c r="G57" s="114"/>
      <c r="H57" s="79">
        <f>SUMIF(Tabela1[Demonstrações - sintética],C57,Tabela1[mar/25])</f>
        <v>0</v>
      </c>
      <c r="I57" s="117">
        <f>ROUND((H57/1000),0)</f>
        <v>0</v>
      </c>
      <c r="J57" s="162" t="e">
        <f>(I57/$I$14)*100</f>
        <v>#REF!</v>
      </c>
      <c r="K57" s="79">
        <f>SUMIF(Tabela1[Demonstrações - sintética],C57,Tabela1[mar/24])+P47</f>
        <v>0</v>
      </c>
      <c r="L57" s="117">
        <f>ROUND((K57/1000),0)</f>
        <v>0</v>
      </c>
      <c r="M57" s="162">
        <f>(L57/$L$14)*100</f>
        <v>0</v>
      </c>
      <c r="N57" s="162">
        <f>IF(K57=0,0,((H57/K57)-1)*100)</f>
        <v>0</v>
      </c>
      <c r="P57" s="177"/>
      <c r="Q57" s="177"/>
      <c r="R57" s="225"/>
      <c r="S57" s="177"/>
      <c r="X57" s="178"/>
    </row>
    <row r="58" spans="2:24" s="176" customFormat="1" ht="18.75" x14ac:dyDescent="0.2">
      <c r="B58" s="114"/>
      <c r="C58" s="114"/>
      <c r="D58" s="114"/>
      <c r="E58" s="114"/>
      <c r="F58" s="114"/>
      <c r="G58" s="114"/>
      <c r="H58" s="226"/>
      <c r="I58" s="221"/>
      <c r="J58" s="172"/>
      <c r="K58" s="220"/>
      <c r="L58" s="221"/>
      <c r="M58" s="172"/>
      <c r="N58" s="172"/>
      <c r="P58" s="177"/>
      <c r="Q58" s="177"/>
      <c r="X58" s="178"/>
    </row>
    <row r="59" spans="2:24" s="176" customFormat="1" ht="18.75" x14ac:dyDescent="0.2">
      <c r="B59" s="161" t="s">
        <v>4419</v>
      </c>
      <c r="C59" s="161"/>
      <c r="D59" s="161"/>
      <c r="E59" s="161"/>
      <c r="F59" s="169"/>
      <c r="G59" s="169"/>
      <c r="H59" s="437" t="e">
        <f>SUM(H54:H58)</f>
        <v>#REF!</v>
      </c>
      <c r="I59" s="444">
        <f>SUM(I56:I58)</f>
        <v>0</v>
      </c>
      <c r="J59" s="438" t="e">
        <f>(I59/$I$14)*100</f>
        <v>#REF!</v>
      </c>
      <c r="K59" s="437">
        <f>SUM(K54:K58)</f>
        <v>-3401344.5600000238</v>
      </c>
      <c r="L59" s="444">
        <f>SUM(L56:L58)</f>
        <v>0</v>
      </c>
      <c r="M59" s="438">
        <f>(L59/$L$14)*100</f>
        <v>0</v>
      </c>
      <c r="N59" s="438" t="e">
        <f>IF(K59=0,0,((H59/K59)-1)*100)</f>
        <v>#REF!</v>
      </c>
      <c r="P59" s="177"/>
      <c r="Q59" s="177"/>
      <c r="X59" s="178"/>
    </row>
    <row r="60" spans="2:24" ht="16.5" x14ac:dyDescent="0.25">
      <c r="H60" s="227"/>
      <c r="I60" s="227"/>
      <c r="J60" s="228"/>
      <c r="K60" s="227"/>
      <c r="L60" s="227"/>
      <c r="M60" s="229"/>
      <c r="N60" s="229"/>
      <c r="S60" s="217"/>
      <c r="T60" s="230"/>
    </row>
    <row r="61" spans="2:24" ht="16.5" x14ac:dyDescent="0.25">
      <c r="H61" s="227"/>
      <c r="I61" s="227"/>
      <c r="J61" s="228"/>
      <c r="K61" s="227"/>
      <c r="L61" s="231" t="s">
        <v>4397</v>
      </c>
      <c r="M61" s="232"/>
      <c r="N61" s="232"/>
      <c r="S61" s="217"/>
      <c r="T61" s="230"/>
    </row>
    <row r="62" spans="2:24" ht="16.5" x14ac:dyDescent="0.25">
      <c r="I62" s="227"/>
      <c r="J62" s="228"/>
      <c r="K62" s="227"/>
      <c r="L62" s="182" t="s">
        <v>5025</v>
      </c>
      <c r="M62" s="229"/>
      <c r="N62" s="229"/>
      <c r="T62" s="230"/>
    </row>
    <row r="63" spans="2:24" ht="16.5" x14ac:dyDescent="0.25">
      <c r="I63" s="227"/>
      <c r="J63" s="228"/>
      <c r="K63" s="227"/>
      <c r="L63" s="227"/>
      <c r="M63" s="227"/>
    </row>
    <row r="64" spans="2:24" x14ac:dyDescent="0.25">
      <c r="H64" s="175"/>
      <c r="I64" s="227"/>
      <c r="J64" s="233"/>
      <c r="K64" s="227"/>
      <c r="L64" s="227"/>
      <c r="M64" s="227"/>
      <c r="N64" s="227"/>
    </row>
    <row r="65" spans="5:18" x14ac:dyDescent="0.25">
      <c r="H65" s="234"/>
      <c r="I65" s="227"/>
      <c r="J65" s="233"/>
      <c r="K65" s="227"/>
      <c r="L65" s="174"/>
      <c r="M65" s="174"/>
      <c r="N65" s="174"/>
    </row>
    <row r="66" spans="5:18" x14ac:dyDescent="0.25">
      <c r="H66" s="235"/>
      <c r="K66" s="237"/>
      <c r="L66" s="174"/>
      <c r="M66" s="174"/>
      <c r="N66" s="174"/>
    </row>
    <row r="67" spans="5:18" x14ac:dyDescent="0.25">
      <c r="H67" s="235"/>
      <c r="L67" s="174"/>
      <c r="M67" s="174"/>
      <c r="N67" s="237"/>
      <c r="R67" s="234"/>
    </row>
    <row r="68" spans="5:18" x14ac:dyDescent="0.25">
      <c r="K68" s="238"/>
      <c r="L68" s="174"/>
      <c r="M68" s="174"/>
      <c r="N68" s="174"/>
      <c r="R68" s="234"/>
    </row>
    <row r="69" spans="5:18" x14ac:dyDescent="0.25">
      <c r="I69" s="174"/>
      <c r="J69" s="239"/>
      <c r="L69" s="174"/>
      <c r="M69" s="174"/>
      <c r="N69" s="174"/>
      <c r="R69" s="234"/>
    </row>
    <row r="70" spans="5:18" x14ac:dyDescent="0.25">
      <c r="I70" s="174"/>
      <c r="J70" s="239"/>
      <c r="L70" s="174"/>
      <c r="M70" s="174"/>
      <c r="N70" s="174"/>
    </row>
    <row r="73" spans="5:18" ht="18.75" x14ac:dyDescent="0.25">
      <c r="H73" s="79"/>
    </row>
    <row r="74" spans="5:18" ht="18.75" x14ac:dyDescent="0.25">
      <c r="H74" s="79"/>
    </row>
    <row r="75" spans="5:18" ht="18.75" x14ac:dyDescent="0.25">
      <c r="H75" s="79"/>
    </row>
    <row r="76" spans="5:18" ht="18.75" x14ac:dyDescent="0.25">
      <c r="H76" s="79"/>
    </row>
    <row r="77" spans="5:18" x14ac:dyDescent="0.25">
      <c r="E77" s="236"/>
    </row>
    <row r="79" spans="5:18" x14ac:dyDescent="0.25">
      <c r="E79" s="236"/>
    </row>
    <row r="81" spans="5:8" x14ac:dyDescent="0.25">
      <c r="E81" s="236"/>
    </row>
    <row r="85" spans="5:8" x14ac:dyDescent="0.25">
      <c r="E85" s="236"/>
    </row>
    <row r="94" spans="5:8" x14ac:dyDescent="0.25">
      <c r="H94" s="174"/>
    </row>
    <row r="95" spans="5:8" x14ac:dyDescent="0.25">
      <c r="H95" s="174"/>
    </row>
    <row r="99" spans="8:8" x14ac:dyDescent="0.25">
      <c r="H99" s="234"/>
    </row>
    <row r="101" spans="8:8" x14ac:dyDescent="0.25">
      <c r="H101" s="234"/>
    </row>
    <row r="102" spans="8:8" x14ac:dyDescent="0.25">
      <c r="H102" s="234"/>
    </row>
    <row r="103" spans="8:8" x14ac:dyDescent="0.25">
      <c r="H103" s="234"/>
    </row>
    <row r="115" spans="8:8" x14ac:dyDescent="0.25">
      <c r="H115" s="234"/>
    </row>
    <row r="308" spans="18:18" x14ac:dyDescent="0.25">
      <c r="R308" s="173">
        <f>R296</f>
        <v>0</v>
      </c>
    </row>
    <row r="437" spans="18:18" x14ac:dyDescent="0.25">
      <c r="R437" s="173">
        <f>R413</f>
        <v>0</v>
      </c>
    </row>
    <row r="453" spans="3:18" x14ac:dyDescent="0.25">
      <c r="C453" s="173" t="s">
        <v>5971</v>
      </c>
    </row>
    <row r="456" spans="3:18" x14ac:dyDescent="0.25">
      <c r="D456" s="173" t="s">
        <v>5547</v>
      </c>
      <c r="J456" s="236">
        <f>IF(R456=0,0,ROUND(R456/1000,0))+1</f>
        <v>9156</v>
      </c>
      <c r="R456" s="173">
        <v>9155454.75</v>
      </c>
    </row>
    <row r="457" spans="3:18" x14ac:dyDescent="0.25">
      <c r="D457" s="173" t="s">
        <v>4519</v>
      </c>
      <c r="R457" s="173">
        <v>491082.02</v>
      </c>
    </row>
    <row r="458" spans="3:18" x14ac:dyDescent="0.25">
      <c r="D458" s="173" t="s">
        <v>4520</v>
      </c>
      <c r="R458" s="173">
        <v>413227.86</v>
      </c>
    </row>
    <row r="459" spans="3:18" x14ac:dyDescent="0.25">
      <c r="D459" s="173" t="s">
        <v>4521</v>
      </c>
      <c r="R459" s="173">
        <v>157361.20000000001</v>
      </c>
    </row>
    <row r="460" spans="3:18" x14ac:dyDescent="0.25">
      <c r="D460" s="173" t="s">
        <v>5972</v>
      </c>
      <c r="R460" s="173">
        <v>123334.53</v>
      </c>
    </row>
    <row r="461" spans="3:18" x14ac:dyDescent="0.25">
      <c r="D461" s="173" t="s">
        <v>5973</v>
      </c>
      <c r="R461" s="173">
        <v>100000</v>
      </c>
    </row>
    <row r="462" spans="3:18" x14ac:dyDescent="0.25">
      <c r="R462" s="173">
        <v>1105094.1100000013</v>
      </c>
    </row>
    <row r="468" spans="3:18" x14ac:dyDescent="0.25">
      <c r="C468" s="173" t="s">
        <v>5970</v>
      </c>
    </row>
    <row r="474" spans="3:18" x14ac:dyDescent="0.25">
      <c r="R474" s="173">
        <v>2225035.19</v>
      </c>
    </row>
    <row r="672" ht="85.5" customHeight="1" x14ac:dyDescent="0.25"/>
  </sheetData>
  <dataConsolidate topLabels="1" link="1">
    <dataRefs count="1">
      <dataRef ref="A49:XFD49" sheet="DRE (R$)" r:id="rId1"/>
    </dataRefs>
  </dataConsolidate>
  <mergeCells count="9">
    <mergeCell ref="B7:N7"/>
    <mergeCell ref="B8:N8"/>
    <mergeCell ref="B9:N9"/>
    <mergeCell ref="B1:N1"/>
    <mergeCell ref="B2:N2"/>
    <mergeCell ref="B3:N3"/>
    <mergeCell ref="B4:N4"/>
    <mergeCell ref="B5:N5"/>
    <mergeCell ref="B6:N6"/>
  </mergeCells>
  <pageMargins left="0.25" right="0.25" top="0.61111111111111105" bottom="0.61111111111111105" header="0.3" footer="0.3"/>
  <pageSetup paperSize="9" scale="41" fitToHeight="0" orientation="portrait" r:id="rId2"/>
  <headerFooter>
    <oddHeader>&amp;C&amp;G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639C0-B545-4E16-BEA3-256887D4B7D2}">
  <sheetPr>
    <tabColor theme="0" tint="-0.34998626667073579"/>
    <pageSetUpPr fitToPage="1"/>
  </sheetPr>
  <dimension ref="A1:X667"/>
  <sheetViews>
    <sheetView workbookViewId="0"/>
  </sheetViews>
  <sheetFormatPr defaultColWidth="9.140625" defaultRowHeight="15.75" x14ac:dyDescent="0.25"/>
  <cols>
    <col min="1" max="1" width="2" style="26" customWidth="1"/>
    <col min="2" max="2" width="1.42578125" style="26" customWidth="1"/>
    <col min="3" max="3" width="79.42578125" style="26" bestFit="1" customWidth="1"/>
    <col min="4" max="4" width="7.42578125" style="26" customWidth="1"/>
    <col min="5" max="10" width="26.42578125" style="26" customWidth="1"/>
    <col min="11" max="11" width="26.42578125" style="32" customWidth="1"/>
    <col min="12" max="13" width="26.42578125" style="26" customWidth="1"/>
    <col min="14" max="14" width="4.85546875" style="26" customWidth="1"/>
    <col min="15" max="15" width="5.5703125" style="26" customWidth="1"/>
    <col min="16" max="16" width="19.7109375" style="26" customWidth="1"/>
    <col min="17" max="17" width="19.5703125" style="26" customWidth="1"/>
    <col min="18" max="18" width="33.28515625" style="26" customWidth="1"/>
    <col min="19" max="19" width="21.85546875" style="26" customWidth="1"/>
    <col min="20" max="20" width="13.140625" style="26" bestFit="1" customWidth="1"/>
    <col min="21" max="21" width="16.5703125" style="26" bestFit="1" customWidth="1"/>
    <col min="22" max="22" width="21.42578125" style="26" customWidth="1"/>
    <col min="23" max="23" width="23.42578125" style="26" customWidth="1"/>
    <col min="24" max="24" width="17.28515625" style="26" bestFit="1" customWidth="1"/>
    <col min="25" max="16384" width="9.140625" style="26"/>
  </cols>
  <sheetData>
    <row r="1" spans="1:24" ht="18.75" customHeight="1" x14ac:dyDescent="0.25">
      <c r="C1" s="947"/>
      <c r="D1" s="947"/>
      <c r="E1" s="947"/>
      <c r="F1" s="947"/>
      <c r="G1" s="947"/>
      <c r="H1" s="947"/>
      <c r="I1" s="947"/>
      <c r="J1" s="947"/>
      <c r="K1" s="947"/>
      <c r="L1" s="947"/>
      <c r="M1" s="947"/>
    </row>
    <row r="2" spans="1:24" s="29" customFormat="1" ht="18.75" customHeight="1" x14ac:dyDescent="0.2">
      <c r="C2" s="947" t="s">
        <v>4486</v>
      </c>
      <c r="D2" s="947"/>
      <c r="E2" s="947"/>
      <c r="F2" s="947"/>
      <c r="G2" s="947"/>
      <c r="H2" s="947"/>
      <c r="I2" s="947"/>
      <c r="J2" s="947"/>
      <c r="K2" s="947"/>
      <c r="L2" s="947"/>
      <c r="M2" s="947"/>
    </row>
    <row r="3" spans="1:24" s="29" customFormat="1" ht="18.75" customHeight="1" x14ac:dyDescent="0.2">
      <c r="C3" s="947" t="e">
        <f>#REF!</f>
        <v>#REF!</v>
      </c>
      <c r="D3" s="947"/>
      <c r="E3" s="947"/>
      <c r="F3" s="947"/>
      <c r="G3" s="947"/>
      <c r="H3" s="947"/>
      <c r="I3" s="947"/>
      <c r="J3" s="947"/>
      <c r="K3" s="947"/>
      <c r="L3" s="947"/>
      <c r="M3" s="947"/>
    </row>
    <row r="4" spans="1:24" s="29" customFormat="1" ht="18.75" customHeight="1" x14ac:dyDescent="0.2">
      <c r="A4" s="60"/>
      <c r="B4" s="60"/>
      <c r="C4" s="947"/>
      <c r="D4" s="947"/>
      <c r="E4" s="947"/>
      <c r="F4" s="947"/>
      <c r="G4" s="947"/>
      <c r="H4" s="947"/>
      <c r="I4" s="947"/>
      <c r="J4" s="947"/>
      <c r="K4" s="947"/>
      <c r="L4" s="947"/>
      <c r="M4" s="947"/>
    </row>
    <row r="5" spans="1:24" s="29" customFormat="1" ht="18.75" customHeight="1" x14ac:dyDescent="0.2">
      <c r="B5" s="60"/>
      <c r="C5" s="947" t="s">
        <v>4479</v>
      </c>
      <c r="D5" s="947"/>
      <c r="E5" s="947"/>
      <c r="F5" s="947"/>
      <c r="G5" s="947"/>
      <c r="H5" s="947"/>
      <c r="I5" s="947"/>
      <c r="J5" s="947"/>
      <c r="K5" s="947"/>
      <c r="L5" s="947"/>
      <c r="M5" s="947"/>
    </row>
    <row r="6" spans="1:24" s="29" customFormat="1" ht="18.75" customHeight="1" x14ac:dyDescent="0.2">
      <c r="C6" s="947"/>
      <c r="D6" s="947"/>
      <c r="E6" s="947"/>
      <c r="F6" s="947"/>
      <c r="G6" s="947"/>
      <c r="H6" s="947"/>
      <c r="I6" s="947"/>
      <c r="J6" s="947"/>
      <c r="K6" s="947"/>
      <c r="L6" s="947"/>
      <c r="M6" s="947"/>
    </row>
    <row r="7" spans="1:24" s="29" customFormat="1" ht="18.75" customHeight="1" x14ac:dyDescent="0.2">
      <c r="C7" s="947"/>
      <c r="D7" s="947"/>
      <c r="E7" s="947"/>
      <c r="F7" s="947"/>
      <c r="G7" s="947"/>
      <c r="H7" s="947"/>
      <c r="I7" s="947"/>
      <c r="J7" s="947"/>
      <c r="K7" s="947"/>
      <c r="L7" s="947"/>
      <c r="M7" s="947"/>
    </row>
    <row r="8" spans="1:24" s="29" customFormat="1" ht="18.75" customHeight="1" x14ac:dyDescent="0.2">
      <c r="C8" s="947"/>
      <c r="D8" s="947"/>
      <c r="E8" s="947"/>
      <c r="F8" s="947"/>
      <c r="G8" s="947"/>
      <c r="H8" s="947"/>
      <c r="I8" s="947"/>
      <c r="J8" s="947"/>
      <c r="K8" s="947"/>
      <c r="L8" s="947"/>
      <c r="M8" s="947"/>
    </row>
    <row r="9" spans="1:24" s="29" customFormat="1" ht="18.75" customHeight="1" x14ac:dyDescent="0.2">
      <c r="C9" s="947"/>
      <c r="D9" s="947"/>
      <c r="E9" s="947"/>
      <c r="F9" s="947"/>
      <c r="G9" s="947"/>
      <c r="H9" s="947"/>
      <c r="I9" s="947"/>
      <c r="J9" s="947"/>
      <c r="K9" s="947"/>
      <c r="L9" s="947"/>
      <c r="M9" s="947"/>
    </row>
    <row r="10" spans="1:24" s="29" customFormat="1" ht="18.75" customHeight="1" x14ac:dyDescent="0.2">
      <c r="C10" s="318"/>
      <c r="D10" s="318"/>
      <c r="E10" s="280"/>
      <c r="F10" s="280"/>
      <c r="G10" s="319"/>
      <c r="H10" s="319"/>
      <c r="I10" s="319"/>
      <c r="J10" s="319"/>
      <c r="K10" s="320"/>
      <c r="L10" s="319"/>
      <c r="M10" s="321" t="s">
        <v>4380</v>
      </c>
    </row>
    <row r="11" spans="1:24" s="28" customFormat="1" ht="68.25" customHeight="1" x14ac:dyDescent="0.2">
      <c r="C11" s="322" t="s">
        <v>7008</v>
      </c>
      <c r="D11" s="323" t="s">
        <v>4480</v>
      </c>
      <c r="E11" s="323" t="s">
        <v>4407</v>
      </c>
      <c r="F11" s="324" t="s">
        <v>4611</v>
      </c>
      <c r="G11" s="317" t="s">
        <v>4408</v>
      </c>
      <c r="H11" s="317" t="s">
        <v>6899</v>
      </c>
      <c r="I11" s="317" t="s">
        <v>6900</v>
      </c>
      <c r="J11" s="317" t="s">
        <v>4481</v>
      </c>
      <c r="K11" s="325" t="s">
        <v>2803</v>
      </c>
      <c r="L11" s="317" t="s">
        <v>4409</v>
      </c>
      <c r="M11" s="326" t="s">
        <v>4358</v>
      </c>
      <c r="P11" s="29"/>
      <c r="Q11" s="29"/>
      <c r="R11" s="29"/>
      <c r="S11" s="29"/>
      <c r="T11" s="29"/>
      <c r="U11" s="29"/>
      <c r="V11" s="29"/>
      <c r="W11" s="29"/>
      <c r="X11" s="29"/>
    </row>
    <row r="12" spans="1:24" ht="4.5" customHeight="1" x14ac:dyDescent="0.25">
      <c r="C12" s="306"/>
      <c r="D12" s="327"/>
      <c r="E12" s="327"/>
      <c r="F12" s="306"/>
      <c r="G12" s="306"/>
      <c r="H12" s="306"/>
      <c r="I12" s="306"/>
      <c r="J12" s="327"/>
      <c r="K12" s="328"/>
      <c r="L12" s="327"/>
      <c r="M12" s="306"/>
      <c r="P12" s="29"/>
      <c r="Q12" s="29"/>
      <c r="R12" s="29"/>
      <c r="S12" s="29"/>
      <c r="T12" s="29"/>
      <c r="U12" s="29"/>
      <c r="V12" s="29"/>
      <c r="W12" s="29"/>
      <c r="X12" s="29"/>
    </row>
    <row r="13" spans="1:24" s="61" customFormat="1" ht="19.5" thickBot="1" x14ac:dyDescent="0.3">
      <c r="C13" s="329" t="s">
        <v>4530</v>
      </c>
      <c r="D13" s="330"/>
      <c r="E13" s="330">
        <v>63114</v>
      </c>
      <c r="F13" s="331">
        <v>0</v>
      </c>
      <c r="G13" s="331">
        <v>32825</v>
      </c>
      <c r="H13" s="331">
        <v>0</v>
      </c>
      <c r="I13" s="331">
        <v>0</v>
      </c>
      <c r="J13" s="330">
        <v>15737</v>
      </c>
      <c r="K13" s="331">
        <v>174291</v>
      </c>
      <c r="L13" s="330">
        <v>-185854</v>
      </c>
      <c r="M13" s="331">
        <f>SUM(E13:L13)</f>
        <v>100113</v>
      </c>
      <c r="P13" s="29"/>
      <c r="Q13" s="29"/>
      <c r="R13" s="29"/>
      <c r="S13" s="29"/>
      <c r="T13" s="29"/>
      <c r="U13" s="29"/>
      <c r="V13" s="29"/>
      <c r="W13" s="29"/>
      <c r="X13" s="29"/>
    </row>
    <row r="14" spans="1:24" ht="6.75" customHeight="1" thickTop="1" x14ac:dyDescent="0.25">
      <c r="C14" s="62"/>
      <c r="D14" s="63"/>
      <c r="E14" s="332"/>
      <c r="F14" s="333"/>
      <c r="G14" s="333"/>
      <c r="H14" s="333"/>
      <c r="I14" s="333"/>
      <c r="J14" s="334"/>
      <c r="K14" s="333"/>
      <c r="L14" s="332"/>
      <c r="M14" s="333"/>
      <c r="P14" s="29"/>
      <c r="Q14" s="29"/>
      <c r="R14" s="29"/>
      <c r="S14" s="29"/>
      <c r="T14" s="29"/>
      <c r="U14" s="29"/>
      <c r="V14" s="29"/>
      <c r="W14" s="29"/>
      <c r="X14" s="29"/>
    </row>
    <row r="15" spans="1:24" ht="18.75" customHeight="1" x14ac:dyDescent="0.25">
      <c r="C15" s="102" t="s">
        <v>4482</v>
      </c>
      <c r="D15" s="64"/>
      <c r="E15" s="334"/>
      <c r="F15" s="334"/>
      <c r="G15" s="335"/>
      <c r="H15" s="335"/>
      <c r="I15" s="335"/>
      <c r="J15" s="334">
        <v>-308</v>
      </c>
      <c r="K15" s="335"/>
      <c r="L15" s="335">
        <v>308</v>
      </c>
      <c r="M15" s="335">
        <f t="shared" ref="M15:M20" si="0">SUM(E15:L15)</f>
        <v>0</v>
      </c>
      <c r="P15" s="29"/>
      <c r="Q15" s="29"/>
      <c r="R15" s="29"/>
      <c r="S15" s="29"/>
      <c r="T15" s="29"/>
      <c r="U15" s="29"/>
      <c r="V15" s="29"/>
      <c r="W15" s="29"/>
      <c r="X15" s="29"/>
    </row>
    <row r="16" spans="1:24" ht="18.75" customHeight="1" x14ac:dyDescent="0.25">
      <c r="C16" s="102" t="s">
        <v>4613</v>
      </c>
      <c r="D16" s="64"/>
      <c r="E16" s="334"/>
      <c r="F16" s="334">
        <v>21019</v>
      </c>
      <c r="G16" s="334"/>
      <c r="H16" s="334"/>
      <c r="I16" s="334"/>
      <c r="J16" s="334"/>
      <c r="K16" s="335"/>
      <c r="L16" s="334"/>
      <c r="M16" s="335">
        <f t="shared" si="0"/>
        <v>21019</v>
      </c>
      <c r="P16" s="29"/>
      <c r="Q16" s="29"/>
      <c r="R16" s="29"/>
      <c r="S16" s="29"/>
      <c r="T16" s="29"/>
      <c r="U16" s="29"/>
      <c r="V16" s="29"/>
      <c r="W16" s="29"/>
      <c r="X16" s="29"/>
    </row>
    <row r="17" spans="3:24" ht="18.75" customHeight="1" x14ac:dyDescent="0.25">
      <c r="C17" s="102" t="s">
        <v>4483</v>
      </c>
      <c r="D17" s="64"/>
      <c r="E17" s="334"/>
      <c r="F17" s="334"/>
      <c r="G17" s="335"/>
      <c r="H17" s="335"/>
      <c r="I17" s="335"/>
      <c r="J17" s="334"/>
      <c r="K17" s="335"/>
      <c r="L17" s="334"/>
      <c r="M17" s="335">
        <f t="shared" si="0"/>
        <v>0</v>
      </c>
      <c r="P17" s="29"/>
      <c r="Q17" s="29"/>
      <c r="R17" s="29"/>
      <c r="S17" s="29"/>
      <c r="T17" s="29"/>
      <c r="U17" s="29"/>
      <c r="V17" s="29"/>
      <c r="W17" s="29"/>
      <c r="X17" s="29"/>
    </row>
    <row r="18" spans="3:24" ht="18.75" customHeight="1" x14ac:dyDescent="0.25">
      <c r="C18" s="336" t="s">
        <v>4485</v>
      </c>
      <c r="D18" s="337"/>
      <c r="E18" s="338"/>
      <c r="F18" s="338"/>
      <c r="G18" s="339"/>
      <c r="H18" s="339"/>
      <c r="I18" s="339"/>
      <c r="J18" s="338"/>
      <c r="K18" s="339">
        <v>-359</v>
      </c>
      <c r="L18" s="338"/>
      <c r="M18" s="335">
        <f t="shared" si="0"/>
        <v>-359</v>
      </c>
      <c r="P18" s="29"/>
      <c r="Q18" s="29"/>
      <c r="R18" s="29"/>
      <c r="S18" s="29"/>
      <c r="T18" s="29"/>
      <c r="U18" s="29"/>
      <c r="V18" s="29"/>
      <c r="W18" s="29"/>
      <c r="X18" s="29"/>
    </row>
    <row r="19" spans="3:24" ht="18.75" customHeight="1" x14ac:dyDescent="0.25">
      <c r="C19" s="102" t="s">
        <v>4484</v>
      </c>
      <c r="D19" s="64"/>
      <c r="E19" s="334"/>
      <c r="F19" s="334"/>
      <c r="G19" s="335"/>
      <c r="H19" s="335"/>
      <c r="I19" s="335"/>
      <c r="J19" s="334"/>
      <c r="K19" s="335"/>
      <c r="L19" s="334">
        <v>-3401</v>
      </c>
      <c r="M19" s="335">
        <f t="shared" si="0"/>
        <v>-3401</v>
      </c>
      <c r="P19" s="29"/>
      <c r="Q19" s="29"/>
      <c r="R19" s="29"/>
      <c r="S19" s="29"/>
      <c r="T19" s="29"/>
      <c r="U19" s="29"/>
      <c r="V19" s="29"/>
      <c r="W19" s="29"/>
      <c r="X19" s="29"/>
    </row>
    <row r="20" spans="3:24" ht="19.5" thickBot="1" x14ac:dyDescent="0.3">
      <c r="C20" s="329" t="s">
        <v>7009</v>
      </c>
      <c r="D20" s="330"/>
      <c r="E20" s="330">
        <f>ROUND(SUM(E13:E19),0)</f>
        <v>63114</v>
      </c>
      <c r="F20" s="330">
        <f>ROUND(SUM(F13:F19),0)</f>
        <v>21019</v>
      </c>
      <c r="G20" s="330">
        <f>ROUND(SUM(G13:G19),0)</f>
        <v>32825</v>
      </c>
      <c r="H20" s="330">
        <f>ROUND(SUM(H13:H19),0)</f>
        <v>0</v>
      </c>
      <c r="I20" s="330">
        <f>ROUND(SUM(I13:I19),0)</f>
        <v>0</v>
      </c>
      <c r="J20" s="330">
        <f>SUM(J13:J19)</f>
        <v>15429</v>
      </c>
      <c r="K20" s="330">
        <f>ROUND(SUM(K13:K19),0)</f>
        <v>173932</v>
      </c>
      <c r="L20" s="330">
        <f>SUM(L13:L19)</f>
        <v>-188947</v>
      </c>
      <c r="M20" s="330">
        <f t="shared" si="0"/>
        <v>117372</v>
      </c>
      <c r="O20" s="45"/>
      <c r="P20" s="29"/>
      <c r="Q20" s="29"/>
      <c r="R20" s="29"/>
      <c r="S20" s="29"/>
      <c r="T20" s="29"/>
      <c r="U20" s="29"/>
      <c r="V20" s="29"/>
      <c r="W20" s="29"/>
      <c r="X20" s="29"/>
    </row>
    <row r="21" spans="3:24" ht="16.5" thickTop="1" x14ac:dyDescent="0.25">
      <c r="D21" s="65"/>
      <c r="E21" s="66"/>
      <c r="F21" s="61"/>
      <c r="G21" s="61"/>
      <c r="H21" s="61"/>
      <c r="I21" s="61"/>
      <c r="J21" s="66"/>
      <c r="K21" s="61"/>
      <c r="L21" s="66"/>
      <c r="M21" s="61"/>
      <c r="O21" s="45"/>
      <c r="P21" s="29"/>
      <c r="Q21" s="29"/>
      <c r="R21" s="29"/>
      <c r="S21" s="29"/>
      <c r="T21" s="29"/>
      <c r="U21" s="29"/>
      <c r="V21" s="29"/>
      <c r="W21" s="29"/>
      <c r="X21" s="29"/>
    </row>
    <row r="22" spans="3:24" x14ac:dyDescent="0.25">
      <c r="D22" s="65"/>
      <c r="E22" s="66"/>
      <c r="F22" s="61"/>
      <c r="G22" s="61"/>
      <c r="H22" s="61"/>
      <c r="I22" s="61"/>
      <c r="J22" s="66"/>
      <c r="K22" s="61"/>
      <c r="L22" s="66"/>
      <c r="M22" s="61"/>
      <c r="O22" s="45"/>
      <c r="P22" s="29"/>
      <c r="Q22" s="29"/>
      <c r="R22" s="29"/>
      <c r="S22" s="29"/>
      <c r="T22" s="29"/>
      <c r="U22" s="29"/>
      <c r="V22" s="29"/>
      <c r="W22" s="29"/>
      <c r="X22" s="29"/>
    </row>
    <row r="23" spans="3:24" ht="12" customHeight="1" x14ac:dyDescent="0.25">
      <c r="D23" s="65"/>
      <c r="E23" s="66"/>
      <c r="F23" s="61"/>
      <c r="G23" s="61"/>
      <c r="H23" s="61"/>
      <c r="I23" s="61"/>
      <c r="J23" s="66"/>
      <c r="K23" s="61"/>
      <c r="L23" s="66"/>
      <c r="M23" s="61"/>
      <c r="O23" s="45"/>
      <c r="P23" s="29"/>
      <c r="Q23" s="29"/>
      <c r="R23" s="29"/>
      <c r="S23" s="29"/>
      <c r="T23" s="29"/>
      <c r="U23" s="29"/>
      <c r="V23" s="29"/>
      <c r="W23" s="29"/>
      <c r="X23" s="29"/>
    </row>
    <row r="24" spans="3:24" x14ac:dyDescent="0.25">
      <c r="D24" s="65"/>
      <c r="E24" s="66"/>
      <c r="F24" s="61"/>
      <c r="G24" s="61"/>
      <c r="H24" s="61"/>
      <c r="I24" s="61"/>
      <c r="J24" s="66"/>
      <c r="K24" s="61"/>
      <c r="L24" s="66"/>
      <c r="M24" s="61"/>
      <c r="O24" s="45"/>
      <c r="P24" s="29"/>
      <c r="Q24" s="29"/>
      <c r="R24" s="29"/>
      <c r="S24" s="29"/>
      <c r="T24" s="29"/>
      <c r="U24" s="29"/>
      <c r="V24" s="29"/>
      <c r="W24" s="29"/>
      <c r="X24" s="29"/>
    </row>
    <row r="25" spans="3:24" x14ac:dyDescent="0.25">
      <c r="D25" s="65"/>
      <c r="E25" s="66"/>
      <c r="F25" s="61"/>
      <c r="G25" s="61"/>
      <c r="H25" s="61"/>
      <c r="I25" s="61"/>
      <c r="J25" s="66"/>
      <c r="K25" s="61"/>
      <c r="L25" s="66"/>
      <c r="M25" s="61"/>
      <c r="O25" s="45"/>
      <c r="P25" s="90"/>
      <c r="Q25" s="90"/>
      <c r="R25" s="90"/>
      <c r="S25" s="90"/>
      <c r="T25" s="90"/>
      <c r="U25" s="343"/>
      <c r="V25" s="343"/>
      <c r="W25" s="90"/>
      <c r="X25" s="90"/>
    </row>
    <row r="26" spans="3:24" x14ac:dyDescent="0.25">
      <c r="D26" s="65"/>
      <c r="E26" s="66"/>
      <c r="F26" s="61"/>
      <c r="G26" s="61"/>
      <c r="H26" s="61"/>
      <c r="I26" s="61"/>
      <c r="J26" s="66"/>
      <c r="K26" s="61"/>
      <c r="L26" s="66"/>
      <c r="M26" s="61"/>
      <c r="O26" s="45"/>
    </row>
    <row r="27" spans="3:24" x14ac:dyDescent="0.25">
      <c r="D27" s="65"/>
      <c r="E27" s="66"/>
      <c r="F27" s="61"/>
      <c r="G27" s="61"/>
      <c r="H27" s="61"/>
      <c r="I27" s="61"/>
      <c r="J27" s="66"/>
      <c r="K27" s="61"/>
      <c r="L27" s="66"/>
      <c r="M27" s="61"/>
      <c r="O27" s="45"/>
      <c r="P27" s="90"/>
      <c r="Q27" s="90"/>
      <c r="R27" s="90"/>
      <c r="S27" s="90"/>
      <c r="T27" s="90"/>
      <c r="U27" s="343"/>
      <c r="V27" s="343"/>
      <c r="W27" s="90"/>
      <c r="X27" s="90"/>
    </row>
    <row r="28" spans="3:24" x14ac:dyDescent="0.25">
      <c r="D28" s="65"/>
      <c r="E28" s="66"/>
      <c r="F28" s="61"/>
      <c r="G28" s="61"/>
      <c r="H28" s="61"/>
      <c r="I28" s="61"/>
      <c r="J28" s="66"/>
      <c r="K28" s="61"/>
      <c r="L28" s="66"/>
      <c r="M28" s="61"/>
      <c r="O28" s="45"/>
      <c r="U28" s="45"/>
      <c r="V28" s="45"/>
    </row>
    <row r="29" spans="3:24" x14ac:dyDescent="0.25">
      <c r="D29" s="65"/>
      <c r="E29" s="66"/>
      <c r="F29" s="61"/>
      <c r="G29" s="61"/>
      <c r="H29" s="61"/>
      <c r="I29" s="61"/>
      <c r="J29" s="66"/>
      <c r="K29" s="61"/>
      <c r="L29" s="66"/>
      <c r="M29" s="61"/>
      <c r="O29" s="45"/>
      <c r="U29" s="45"/>
      <c r="V29" s="45"/>
    </row>
    <row r="30" spans="3:24" x14ac:dyDescent="0.25">
      <c r="D30" s="65"/>
      <c r="E30" s="66"/>
      <c r="F30" s="61"/>
      <c r="G30" s="61"/>
      <c r="H30" s="61"/>
      <c r="I30" s="61"/>
      <c r="J30" s="66"/>
      <c r="K30" s="61"/>
      <c r="L30" s="66"/>
      <c r="M30" s="61"/>
      <c r="O30" s="45"/>
      <c r="U30" s="45"/>
      <c r="V30" s="45"/>
    </row>
    <row r="31" spans="3:24" s="28" customFormat="1" ht="68.25" customHeight="1" x14ac:dyDescent="0.2">
      <c r="C31" s="322" t="s">
        <v>7010</v>
      </c>
      <c r="D31" s="323" t="s">
        <v>4480</v>
      </c>
      <c r="E31" s="323" t="s">
        <v>4407</v>
      </c>
      <c r="F31" s="324" t="s">
        <v>4611</v>
      </c>
      <c r="G31" s="317" t="s">
        <v>4408</v>
      </c>
      <c r="H31" s="317" t="s">
        <v>6899</v>
      </c>
      <c r="I31" s="317" t="s">
        <v>6900</v>
      </c>
      <c r="J31" s="317" t="s">
        <v>4481</v>
      </c>
      <c r="K31" s="325" t="s">
        <v>2803</v>
      </c>
      <c r="L31" s="317" t="s">
        <v>4409</v>
      </c>
      <c r="M31" s="326" t="s">
        <v>4358</v>
      </c>
      <c r="P31" s="344" t="s">
        <v>4407</v>
      </c>
      <c r="Q31" s="345" t="s">
        <v>4611</v>
      </c>
      <c r="R31" s="346" t="s">
        <v>4408</v>
      </c>
      <c r="S31" s="345" t="s">
        <v>6802</v>
      </c>
      <c r="T31" s="345" t="s">
        <v>6801</v>
      </c>
      <c r="U31" s="346" t="s">
        <v>4481</v>
      </c>
      <c r="V31" s="347" t="s">
        <v>2803</v>
      </c>
      <c r="W31" s="346" t="s">
        <v>6803</v>
      </c>
      <c r="X31" s="348" t="s">
        <v>4358</v>
      </c>
    </row>
    <row r="32" spans="3:24" ht="4.5" customHeight="1" x14ac:dyDescent="0.25">
      <c r="D32" s="65"/>
      <c r="E32" s="67"/>
      <c r="F32" s="68"/>
      <c r="G32" s="68"/>
      <c r="H32" s="68"/>
      <c r="I32" s="68"/>
      <c r="J32" s="67"/>
      <c r="K32" s="68"/>
      <c r="L32" s="67"/>
      <c r="M32" s="68"/>
      <c r="O32" s="45"/>
      <c r="P32" s="342"/>
      <c r="Q32" s="342"/>
      <c r="R32" s="342"/>
      <c r="S32" s="342"/>
      <c r="T32" s="342"/>
      <c r="U32" s="342"/>
      <c r="V32" s="342"/>
      <c r="W32" s="342"/>
      <c r="X32" s="342"/>
    </row>
    <row r="33" spans="3:24" s="61" customFormat="1" ht="19.5" thickBot="1" x14ac:dyDescent="0.3">
      <c r="C33" s="329" t="s">
        <v>7011</v>
      </c>
      <c r="D33" s="330"/>
      <c r="E33" s="330">
        <v>63114</v>
      </c>
      <c r="F33" s="331">
        <v>0</v>
      </c>
      <c r="G33" s="331"/>
      <c r="H33" s="331">
        <v>18540</v>
      </c>
      <c r="I33" s="331">
        <v>976</v>
      </c>
      <c r="J33" s="330">
        <v>14505</v>
      </c>
      <c r="K33" s="331">
        <v>159864</v>
      </c>
      <c r="L33" s="330">
        <v>0</v>
      </c>
      <c r="M33" s="330">
        <f>SUM(E33:L33)</f>
        <v>256999</v>
      </c>
      <c r="O33" s="69"/>
      <c r="P33" s="679">
        <v>63113786.329999998</v>
      </c>
      <c r="Q33" s="679">
        <v>0</v>
      </c>
      <c r="R33" s="679">
        <v>0</v>
      </c>
      <c r="S33" s="679">
        <v>18539505.899999999</v>
      </c>
      <c r="T33" s="679">
        <v>975763.47</v>
      </c>
      <c r="U33" s="679">
        <v>14505209.810000001</v>
      </c>
      <c r="V33" s="679">
        <v>159863955.33000001</v>
      </c>
      <c r="W33" s="679">
        <v>0</v>
      </c>
      <c r="X33" s="679">
        <f>SUM(P33:W33)</f>
        <v>256998220.84</v>
      </c>
    </row>
    <row r="34" spans="3:24" ht="6.75" customHeight="1" thickTop="1" x14ac:dyDescent="0.25">
      <c r="D34" s="65"/>
      <c r="E34" s="340"/>
      <c r="F34" s="341"/>
      <c r="G34" s="341"/>
      <c r="H34" s="341"/>
      <c r="I34" s="341"/>
      <c r="J34" s="340"/>
      <c r="K34" s="341"/>
      <c r="L34" s="340"/>
      <c r="M34" s="341"/>
      <c r="O34" s="45"/>
      <c r="P34" s="679"/>
      <c r="Q34" s="679"/>
      <c r="R34" s="679"/>
      <c r="S34" s="679"/>
      <c r="T34" s="679"/>
      <c r="U34" s="679"/>
      <c r="V34" s="679"/>
      <c r="W34" s="679"/>
      <c r="X34" s="679"/>
    </row>
    <row r="35" spans="3:24" ht="18.75" customHeight="1" x14ac:dyDescent="0.25">
      <c r="C35" s="102" t="s">
        <v>4482</v>
      </c>
      <c r="D35" s="64"/>
      <c r="E35" s="334"/>
      <c r="F35" s="335"/>
      <c r="G35" s="335"/>
      <c r="H35" s="335"/>
      <c r="I35" s="335"/>
      <c r="J35" s="334">
        <v>-308</v>
      </c>
      <c r="K35" s="335"/>
      <c r="L35" s="334">
        <v>308</v>
      </c>
      <c r="M35" s="335">
        <f>SUM(E35:L35)</f>
        <v>0</v>
      </c>
      <c r="O35" s="45"/>
      <c r="P35" s="679"/>
      <c r="Q35" s="679"/>
      <c r="R35" s="679"/>
      <c r="S35" s="679"/>
      <c r="T35" s="679"/>
      <c r="U35" s="679">
        <v>-307820.31000000099</v>
      </c>
      <c r="V35" s="679"/>
      <c r="W35" s="679">
        <v>307820.31000000099</v>
      </c>
      <c r="X35" s="679">
        <f>SUM(P35:W35)</f>
        <v>0</v>
      </c>
    </row>
    <row r="36" spans="3:24" ht="18.75" customHeight="1" x14ac:dyDescent="0.25">
      <c r="C36" s="336" t="s">
        <v>4613</v>
      </c>
      <c r="D36" s="337"/>
      <c r="E36" s="338"/>
      <c r="F36" s="338"/>
      <c r="G36" s="339"/>
      <c r="H36" s="339"/>
      <c r="I36" s="339"/>
      <c r="J36" s="338"/>
      <c r="K36" s="339"/>
      <c r="L36" s="338"/>
      <c r="M36" s="339">
        <f>SUM(E36:L36)</f>
        <v>0</v>
      </c>
      <c r="O36" s="45"/>
      <c r="P36" s="679"/>
      <c r="Q36" s="679"/>
      <c r="R36" s="679"/>
      <c r="S36" s="679"/>
      <c r="T36" s="679"/>
      <c r="U36" s="679"/>
      <c r="V36" s="679"/>
      <c r="W36" s="679"/>
      <c r="X36" s="679">
        <f>SUM(P36:W36)</f>
        <v>0</v>
      </c>
    </row>
    <row r="37" spans="3:24" ht="18.75" customHeight="1" x14ac:dyDescent="0.25">
      <c r="C37" s="102" t="s">
        <v>4483</v>
      </c>
      <c r="D37" s="64"/>
      <c r="E37" s="334"/>
      <c r="F37" s="335"/>
      <c r="G37" s="334"/>
      <c r="H37" s="334"/>
      <c r="I37" s="334"/>
      <c r="J37" s="334"/>
      <c r="K37" s="335"/>
      <c r="L37" s="334"/>
      <c r="M37" s="335">
        <f>SUM(E37:L37)</f>
        <v>0</v>
      </c>
      <c r="O37" s="45"/>
      <c r="P37" s="679"/>
      <c r="Q37" s="679"/>
      <c r="R37" s="679"/>
      <c r="S37" s="679"/>
      <c r="T37" s="679"/>
      <c r="U37" s="679"/>
      <c r="V37" s="679"/>
      <c r="W37" s="679"/>
      <c r="X37" s="679">
        <f>SUM(P37:W37)</f>
        <v>0</v>
      </c>
    </row>
    <row r="38" spans="3:24" ht="18.75" customHeight="1" x14ac:dyDescent="0.25">
      <c r="C38" s="102" t="s">
        <v>4484</v>
      </c>
      <c r="D38" s="64"/>
      <c r="E38" s="334"/>
      <c r="F38" s="335"/>
      <c r="G38" s="335"/>
      <c r="H38" s="335"/>
      <c r="I38" s="335"/>
      <c r="J38" s="334"/>
      <c r="K38" s="335"/>
      <c r="L38" s="334">
        <v>-403</v>
      </c>
      <c r="M38" s="335">
        <f>SUM(E38:L38)</f>
        <v>-403</v>
      </c>
      <c r="O38" s="45"/>
      <c r="P38" s="679"/>
      <c r="Q38" s="679"/>
      <c r="R38" s="679"/>
      <c r="S38" s="679"/>
      <c r="T38" s="679"/>
      <c r="U38" s="679"/>
      <c r="V38" s="679"/>
      <c r="W38" s="679">
        <v>-403474.78000000841</v>
      </c>
      <c r="X38" s="679">
        <f>SUM(P38:W38)</f>
        <v>-403474.78000000841</v>
      </c>
    </row>
    <row r="39" spans="3:24" ht="19.5" thickBot="1" x14ac:dyDescent="0.3">
      <c r="C39" s="329" t="s">
        <v>7012</v>
      </c>
      <c r="D39" s="330"/>
      <c r="E39" s="330">
        <f t="shared" ref="E39:M39" si="1">SUM(E33:E38)</f>
        <v>63114</v>
      </c>
      <c r="F39" s="330">
        <f t="shared" si="1"/>
        <v>0</v>
      </c>
      <c r="G39" s="330">
        <f t="shared" si="1"/>
        <v>0</v>
      </c>
      <c r="H39" s="330">
        <f t="shared" si="1"/>
        <v>18540</v>
      </c>
      <c r="I39" s="330">
        <f t="shared" si="1"/>
        <v>976</v>
      </c>
      <c r="J39" s="330">
        <f t="shared" si="1"/>
        <v>14197</v>
      </c>
      <c r="K39" s="330">
        <f t="shared" si="1"/>
        <v>159864</v>
      </c>
      <c r="L39" s="330">
        <f t="shared" si="1"/>
        <v>-95</v>
      </c>
      <c r="M39" s="330">
        <f t="shared" si="1"/>
        <v>256596</v>
      </c>
      <c r="O39" s="45"/>
      <c r="P39" s="679">
        <f t="shared" ref="P39:W39" si="2">SUM(P33:P38)</f>
        <v>63113786.329999998</v>
      </c>
      <c r="Q39" s="679">
        <f t="shared" si="2"/>
        <v>0</v>
      </c>
      <c r="R39" s="679">
        <f t="shared" si="2"/>
        <v>0</v>
      </c>
      <c r="S39" s="679">
        <f t="shared" si="2"/>
        <v>18539505.899999999</v>
      </c>
      <c r="T39" s="679">
        <f t="shared" si="2"/>
        <v>975763.47</v>
      </c>
      <c r="U39" s="679">
        <f t="shared" si="2"/>
        <v>14197389.5</v>
      </c>
      <c r="V39" s="679">
        <f t="shared" si="2"/>
        <v>159863955.33000001</v>
      </c>
      <c r="W39" s="679">
        <f t="shared" si="2"/>
        <v>-95654.470000007423</v>
      </c>
      <c r="X39" s="679">
        <f>SUM(P39:W39)</f>
        <v>256594746.06</v>
      </c>
    </row>
    <row r="40" spans="3:24" ht="16.5" thickTop="1" x14ac:dyDescent="0.25">
      <c r="K40" s="26"/>
      <c r="L40" s="46"/>
      <c r="O40" s="45"/>
      <c r="P40" s="678">
        <f t="shared" ref="P40:X40" si="3">ROUND(P39/1000-E39,0)</f>
        <v>0</v>
      </c>
      <c r="Q40" s="678">
        <f t="shared" si="3"/>
        <v>0</v>
      </c>
      <c r="R40" s="678">
        <f t="shared" si="3"/>
        <v>0</v>
      </c>
      <c r="S40" s="678">
        <f t="shared" si="3"/>
        <v>0</v>
      </c>
      <c r="T40" s="678">
        <f t="shared" si="3"/>
        <v>0</v>
      </c>
      <c r="U40" s="678">
        <f t="shared" si="3"/>
        <v>0</v>
      </c>
      <c r="V40" s="678">
        <f t="shared" si="3"/>
        <v>0</v>
      </c>
      <c r="W40" s="678">
        <f t="shared" si="3"/>
        <v>-1</v>
      </c>
      <c r="X40" s="678">
        <f t="shared" si="3"/>
        <v>-1</v>
      </c>
    </row>
    <row r="41" spans="3:24" x14ac:dyDescent="0.25">
      <c r="L41" s="46"/>
      <c r="M41" s="307" t="s">
        <v>5025</v>
      </c>
      <c r="O41" s="45"/>
      <c r="Q41" s="46"/>
      <c r="R41" s="45"/>
      <c r="T41" s="45"/>
      <c r="X41" s="680" t="e">
        <f>X39-#REF!</f>
        <v>#REF!</v>
      </c>
    </row>
    <row r="42" spans="3:24" ht="15.75" customHeight="1" x14ac:dyDescent="0.25">
      <c r="O42" s="45"/>
      <c r="R42" s="45"/>
      <c r="T42" s="45"/>
      <c r="W42" s="90"/>
    </row>
    <row r="43" spans="3:24" x14ac:dyDescent="0.25">
      <c r="K43" s="26"/>
      <c r="M43" s="90"/>
      <c r="O43" s="45"/>
      <c r="R43" s="45"/>
      <c r="T43" s="45"/>
      <c r="U43" s="90"/>
      <c r="W43" s="90"/>
      <c r="X43" s="90"/>
    </row>
    <row r="44" spans="3:24" x14ac:dyDescent="0.25">
      <c r="G44" s="90"/>
      <c r="H44" s="90"/>
      <c r="I44" s="90"/>
      <c r="K44" s="26"/>
      <c r="O44" s="45"/>
      <c r="R44" s="45"/>
      <c r="T44" s="45"/>
      <c r="U44" s="48"/>
      <c r="W44" s="90"/>
    </row>
    <row r="45" spans="3:24" x14ac:dyDescent="0.25">
      <c r="G45" s="90"/>
      <c r="H45" s="90"/>
      <c r="I45" s="90"/>
      <c r="K45" s="46"/>
      <c r="O45" s="45"/>
      <c r="R45" s="45"/>
      <c r="T45" s="45"/>
      <c r="W45" s="90"/>
    </row>
    <row r="46" spans="3:24" ht="18" customHeight="1" x14ac:dyDescent="0.25">
      <c r="E46" s="26" t="s">
        <v>4379</v>
      </c>
      <c r="G46" s="90"/>
      <c r="H46" s="90"/>
      <c r="I46" s="90"/>
      <c r="J46" s="26" t="s">
        <v>4379</v>
      </c>
      <c r="K46" s="26"/>
      <c r="O46" s="45"/>
      <c r="R46" s="45"/>
      <c r="T46" s="45"/>
    </row>
    <row r="47" spans="3:24" x14ac:dyDescent="0.25">
      <c r="G47" s="90"/>
      <c r="H47" s="90"/>
      <c r="I47" s="90"/>
      <c r="K47" s="26"/>
      <c r="O47" s="45"/>
      <c r="R47" s="45"/>
      <c r="T47" s="45"/>
    </row>
    <row r="48" spans="3:24" x14ac:dyDescent="0.25">
      <c r="G48" s="48"/>
      <c r="H48" s="48"/>
      <c r="I48" s="48"/>
      <c r="K48" s="26"/>
      <c r="O48" s="45"/>
      <c r="R48" s="45"/>
      <c r="T48" s="45"/>
    </row>
    <row r="49" spans="5:20" x14ac:dyDescent="0.25">
      <c r="K49" s="26"/>
      <c r="O49" s="45"/>
      <c r="R49" s="45"/>
      <c r="T49" s="45"/>
    </row>
    <row r="50" spans="5:20" x14ac:dyDescent="0.25">
      <c r="K50" s="26"/>
      <c r="O50" s="45"/>
      <c r="R50" s="45"/>
      <c r="T50" s="45"/>
    </row>
    <row r="51" spans="5:20" x14ac:dyDescent="0.25">
      <c r="K51" s="26"/>
    </row>
    <row r="60" spans="5:20" x14ac:dyDescent="0.25">
      <c r="E60" s="46" t="e">
        <f>#REF!</f>
        <v>#REF!</v>
      </c>
      <c r="F60" s="46"/>
      <c r="G60" s="46" t="e">
        <f>#REF!</f>
        <v>#REF!</v>
      </c>
      <c r="H60" s="46"/>
      <c r="I60" s="46"/>
      <c r="J60" s="46" t="e">
        <f>#REF!</f>
        <v>#REF!</v>
      </c>
      <c r="K60" s="32" t="e">
        <f>#REF!</f>
        <v>#REF!</v>
      </c>
      <c r="L60" s="46" t="e">
        <f>#REF!</f>
        <v>#REF!</v>
      </c>
      <c r="M60" s="46" t="e">
        <f>SUM(E60:L60)</f>
        <v>#REF!</v>
      </c>
    </row>
    <row r="61" spans="5:20" x14ac:dyDescent="0.25">
      <c r="G61" s="49"/>
      <c r="H61" s="49"/>
      <c r="I61" s="49"/>
    </row>
    <row r="62" spans="5:20" x14ac:dyDescent="0.25">
      <c r="E62" s="46" t="e">
        <f>E39-E60</f>
        <v>#REF!</v>
      </c>
      <c r="F62" s="46"/>
      <c r="J62" s="46" t="e">
        <f>J39-J60</f>
        <v>#REF!</v>
      </c>
      <c r="K62" s="46" t="e">
        <f>K39-K60</f>
        <v>#REF!</v>
      </c>
      <c r="L62" s="46" t="e">
        <f>L39-L60</f>
        <v>#REF!</v>
      </c>
      <c r="M62" s="46" t="e">
        <f>M39-M60</f>
        <v>#REF!</v>
      </c>
    </row>
    <row r="87" spans="4:10" x14ac:dyDescent="0.25">
      <c r="J87" s="26">
        <f>J55-J61</f>
        <v>0</v>
      </c>
    </row>
    <row r="90" spans="4:10" x14ac:dyDescent="0.25">
      <c r="D90" s="47" t="e">
        <f>#REF!-#REF!</f>
        <v>#REF!</v>
      </c>
    </row>
    <row r="91" spans="4:10" x14ac:dyDescent="0.25">
      <c r="D91" s="26" t="e">
        <f>SUM(D89:D90)</f>
        <v>#REF!</v>
      </c>
    </row>
    <row r="301" spans="23:23" x14ac:dyDescent="0.25">
      <c r="W301" s="26">
        <f>W289</f>
        <v>0</v>
      </c>
    </row>
    <row r="430" spans="23:23" x14ac:dyDescent="0.25">
      <c r="W430" s="26">
        <f>W406</f>
        <v>0</v>
      </c>
    </row>
    <row r="446" spans="3:3" x14ac:dyDescent="0.25">
      <c r="C446" s="26" t="s">
        <v>5971</v>
      </c>
    </row>
    <row r="449" spans="3:23" x14ac:dyDescent="0.25">
      <c r="D449" s="26" t="s">
        <v>5547</v>
      </c>
      <c r="N449" s="26">
        <f>IF(W449=0,0,ROUND(W449/1000,0))+1</f>
        <v>9156</v>
      </c>
      <c r="W449" s="26">
        <v>9155454.75</v>
      </c>
    </row>
    <row r="450" spans="3:23" x14ac:dyDescent="0.25">
      <c r="D450" s="26" t="s">
        <v>4519</v>
      </c>
      <c r="W450" s="26">
        <v>491082.02</v>
      </c>
    </row>
    <row r="451" spans="3:23" x14ac:dyDescent="0.25">
      <c r="D451" s="26" t="s">
        <v>4520</v>
      </c>
      <c r="W451" s="26">
        <v>413227.86</v>
      </c>
    </row>
    <row r="452" spans="3:23" x14ac:dyDescent="0.25">
      <c r="D452" s="26" t="s">
        <v>4521</v>
      </c>
      <c r="W452" s="26">
        <v>157361.20000000001</v>
      </c>
    </row>
    <row r="453" spans="3:23" x14ac:dyDescent="0.25">
      <c r="D453" s="26" t="s">
        <v>5972</v>
      </c>
      <c r="W453" s="26">
        <v>123334.53</v>
      </c>
    </row>
    <row r="454" spans="3:23" x14ac:dyDescent="0.25">
      <c r="D454" s="26" t="s">
        <v>5973</v>
      </c>
      <c r="W454" s="26">
        <v>100000</v>
      </c>
    </row>
    <row r="455" spans="3:23" x14ac:dyDescent="0.25">
      <c r="W455" s="26">
        <v>1105094.1100000013</v>
      </c>
    </row>
    <row r="461" spans="3:23" x14ac:dyDescent="0.25">
      <c r="C461" s="26" t="s">
        <v>5970</v>
      </c>
    </row>
    <row r="467" spans="23:23" x14ac:dyDescent="0.25">
      <c r="W467" s="26">
        <v>2225035.19</v>
      </c>
    </row>
    <row r="638" spans="1:1" x14ac:dyDescent="0.25">
      <c r="A638" s="26">
        <v>34</v>
      </c>
    </row>
    <row r="646" spans="1:1" x14ac:dyDescent="0.25">
      <c r="A646" s="26">
        <v>35</v>
      </c>
    </row>
    <row r="667" ht="85.5" customHeight="1" x14ac:dyDescent="0.25"/>
  </sheetData>
  <mergeCells count="9">
    <mergeCell ref="C7:M7"/>
    <mergeCell ref="C8:M8"/>
    <mergeCell ref="C9:M9"/>
    <mergeCell ref="C1:M1"/>
    <mergeCell ref="C2:M2"/>
    <mergeCell ref="C3:M3"/>
    <mergeCell ref="C4:M4"/>
    <mergeCell ref="C5:M5"/>
    <mergeCell ref="C6:M6"/>
  </mergeCells>
  <pageMargins left="0.25" right="0.25" top="0.61111111111111105" bottom="0.61111111111111105" header="0.3" footer="0.3"/>
  <pageSetup paperSize="9" scale="43" orientation="landscape"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U481"/>
  <sheetViews>
    <sheetView showGridLines="0" workbookViewId="0"/>
  </sheetViews>
  <sheetFormatPr defaultColWidth="9" defaultRowHeight="15.75" x14ac:dyDescent="0.25"/>
  <cols>
    <col min="1" max="1" width="8.28515625" style="12" customWidth="1"/>
    <col min="2" max="2" width="2.42578125" style="12" customWidth="1"/>
    <col min="3" max="3" width="2.140625" style="12" customWidth="1"/>
    <col min="4" max="4" width="30" style="12" customWidth="1"/>
    <col min="5" max="5" width="9" style="12"/>
    <col min="6" max="6" width="20" style="12" customWidth="1"/>
    <col min="7" max="7" width="8.7109375" style="12" customWidth="1"/>
    <col min="8" max="8" width="7.7109375" style="12" customWidth="1"/>
    <col min="9" max="9" width="25.28515625" style="12" customWidth="1"/>
    <col min="10" max="10" width="9" style="12"/>
    <col min="11" max="11" width="15.28515625" style="12" customWidth="1"/>
    <col min="12" max="12" width="14.42578125" style="12" customWidth="1"/>
    <col min="13" max="13" width="63.5703125" style="12" customWidth="1"/>
    <col min="14" max="14" width="14.28515625" style="12" customWidth="1"/>
    <col min="15" max="15" width="17.28515625" style="16" customWidth="1"/>
    <col min="16" max="16" width="10.7109375" style="12" customWidth="1"/>
    <col min="17" max="16384" width="9" style="12"/>
  </cols>
  <sheetData>
    <row r="2" spans="2:15" x14ac:dyDescent="0.25">
      <c r="B2" s="11"/>
      <c r="F2" s="13"/>
      <c r="G2" s="14"/>
      <c r="H2" s="13"/>
      <c r="I2" s="13"/>
      <c r="J2" s="15"/>
      <c r="K2" s="16"/>
      <c r="N2" s="17"/>
      <c r="O2" s="17"/>
    </row>
    <row r="3" spans="2:15" x14ac:dyDescent="0.25">
      <c r="B3" s="11"/>
      <c r="F3" s="13"/>
      <c r="G3" s="14"/>
      <c r="H3" s="13"/>
      <c r="I3" s="13"/>
      <c r="J3" s="15"/>
      <c r="K3" s="16"/>
      <c r="N3" s="18"/>
      <c r="O3" s="17"/>
    </row>
    <row r="4" spans="2:15" x14ac:dyDescent="0.25">
      <c r="B4" s="11"/>
      <c r="F4" s="13"/>
      <c r="G4" s="14"/>
      <c r="H4" s="13"/>
      <c r="I4" s="13"/>
      <c r="J4" s="15"/>
      <c r="K4" s="16"/>
      <c r="N4" s="18"/>
      <c r="O4" s="17"/>
    </row>
    <row r="5" spans="2:15" x14ac:dyDescent="0.25">
      <c r="B5" s="11"/>
      <c r="F5" s="13"/>
      <c r="G5" s="14"/>
      <c r="H5" s="13"/>
      <c r="I5" s="13"/>
      <c r="J5" s="15"/>
      <c r="K5" s="16"/>
      <c r="N5" s="18"/>
      <c r="O5" s="17"/>
    </row>
    <row r="6" spans="2:15" x14ac:dyDescent="0.25">
      <c r="B6" s="11"/>
      <c r="F6" s="13"/>
      <c r="G6" s="14"/>
      <c r="H6" s="13"/>
      <c r="I6" s="13"/>
      <c r="J6" s="15"/>
      <c r="K6" s="16"/>
      <c r="N6" s="18"/>
      <c r="O6" s="17"/>
    </row>
    <row r="7" spans="2:15" x14ac:dyDescent="0.25">
      <c r="B7" s="11"/>
      <c r="J7" s="18"/>
      <c r="N7" s="18"/>
      <c r="O7" s="17"/>
    </row>
    <row r="8" spans="2:15" x14ac:dyDescent="0.25">
      <c r="B8" s="11"/>
      <c r="J8" s="18"/>
      <c r="N8" s="18"/>
      <c r="O8" s="17"/>
    </row>
    <row r="9" spans="2:15" x14ac:dyDescent="0.25">
      <c r="J9" s="18"/>
      <c r="N9" s="18"/>
      <c r="O9" s="19"/>
    </row>
    <row r="10" spans="2:15" x14ac:dyDescent="0.25">
      <c r="J10" s="18"/>
      <c r="N10" s="18"/>
      <c r="O10" s="19"/>
    </row>
    <row r="11" spans="2:15" x14ac:dyDescent="0.25">
      <c r="J11" s="18"/>
      <c r="N11" s="18"/>
      <c r="O11" s="19"/>
    </row>
    <row r="12" spans="2:15" x14ac:dyDescent="0.25">
      <c r="J12" s="18"/>
      <c r="N12" s="18"/>
      <c r="O12" s="19"/>
    </row>
    <row r="13" spans="2:15" x14ac:dyDescent="0.25">
      <c r="J13" s="18"/>
      <c r="N13" s="18"/>
      <c r="O13" s="19"/>
    </row>
    <row r="14" spans="2:15" x14ac:dyDescent="0.25">
      <c r="J14" s="18"/>
      <c r="N14" s="18"/>
      <c r="O14" s="19"/>
    </row>
    <row r="15" spans="2:15" x14ac:dyDescent="0.25">
      <c r="J15" s="18"/>
      <c r="N15" s="18"/>
      <c r="O15" s="19"/>
    </row>
    <row r="16" spans="2:15" x14ac:dyDescent="0.25">
      <c r="J16" s="18"/>
      <c r="N16" s="18"/>
      <c r="O16" s="19"/>
    </row>
    <row r="17" spans="10:15" x14ac:dyDescent="0.25">
      <c r="J17" s="18"/>
      <c r="N17" s="18"/>
      <c r="O17" s="19"/>
    </row>
    <row r="18" spans="10:15" x14ac:dyDescent="0.25">
      <c r="J18" s="18"/>
      <c r="N18" s="18"/>
      <c r="O18" s="19"/>
    </row>
    <row r="19" spans="10:15" x14ac:dyDescent="0.25">
      <c r="J19" s="18"/>
      <c r="N19" s="18"/>
      <c r="O19" s="19"/>
    </row>
    <row r="20" spans="10:15" x14ac:dyDescent="0.25">
      <c r="J20" s="18"/>
      <c r="N20" s="18"/>
      <c r="O20" s="19"/>
    </row>
    <row r="21" spans="10:15" x14ac:dyDescent="0.25">
      <c r="J21" s="18"/>
      <c r="N21" s="18"/>
      <c r="O21" s="19"/>
    </row>
    <row r="22" spans="10:15" x14ac:dyDescent="0.25">
      <c r="J22" s="18"/>
      <c r="N22" s="18"/>
      <c r="O22" s="19"/>
    </row>
    <row r="23" spans="10:15" x14ac:dyDescent="0.25">
      <c r="J23" s="18"/>
      <c r="N23" s="18"/>
      <c r="O23" s="19"/>
    </row>
    <row r="24" spans="10:15" x14ac:dyDescent="0.25">
      <c r="J24" s="18"/>
      <c r="N24" s="18"/>
      <c r="O24" s="19"/>
    </row>
    <row r="25" spans="10:15" x14ac:dyDescent="0.25">
      <c r="J25" s="18"/>
      <c r="N25" s="18"/>
      <c r="O25" s="19"/>
    </row>
    <row r="67" spans="3:3" x14ac:dyDescent="0.25">
      <c r="C67" s="10"/>
    </row>
    <row r="311" spans="18:21" x14ac:dyDescent="0.25">
      <c r="R311" s="12">
        <v>0</v>
      </c>
      <c r="T311" s="12">
        <v>3105835.48</v>
      </c>
    </row>
    <row r="312" spans="18:21" x14ac:dyDescent="0.25">
      <c r="R312" s="12">
        <v>0</v>
      </c>
      <c r="T312" s="12">
        <v>0</v>
      </c>
    </row>
    <row r="313" spans="18:21" x14ac:dyDescent="0.25">
      <c r="R313" s="12">
        <v>0</v>
      </c>
      <c r="T313" s="12">
        <v>0</v>
      </c>
    </row>
    <row r="314" spans="18:21" x14ac:dyDescent="0.25">
      <c r="T314" s="12">
        <v>0</v>
      </c>
    </row>
    <row r="315" spans="18:21" x14ac:dyDescent="0.25">
      <c r="R315" s="12">
        <v>402131.98</v>
      </c>
      <c r="T315" s="12">
        <v>3980898</v>
      </c>
      <c r="U315" s="12">
        <v>0</v>
      </c>
    </row>
    <row r="316" spans="18:21" x14ac:dyDescent="0.25">
      <c r="T316" s="12">
        <v>0</v>
      </c>
    </row>
    <row r="317" spans="18:21" x14ac:dyDescent="0.25">
      <c r="T317" s="12">
        <v>0</v>
      </c>
    </row>
    <row r="318" spans="18:21" x14ac:dyDescent="0.25">
      <c r="T318" s="12">
        <v>0</v>
      </c>
    </row>
    <row r="319" spans="18:21" x14ac:dyDescent="0.25">
      <c r="R319" s="12">
        <v>0</v>
      </c>
      <c r="T319" s="12">
        <v>133849.81</v>
      </c>
    </row>
    <row r="320" spans="18:21" x14ac:dyDescent="0.25">
      <c r="R320" s="12">
        <v>577655.86</v>
      </c>
    </row>
    <row r="321" spans="18:20" x14ac:dyDescent="0.25">
      <c r="R321" s="12">
        <v>548640.68000000005</v>
      </c>
    </row>
    <row r="322" spans="18:20" x14ac:dyDescent="0.25">
      <c r="R322" s="12">
        <v>0</v>
      </c>
      <c r="T322" s="12">
        <v>85805.88</v>
      </c>
    </row>
    <row r="444" spans="21:21" x14ac:dyDescent="0.25">
      <c r="U444" s="12">
        <v>0</v>
      </c>
    </row>
    <row r="460" spans="3:21" x14ac:dyDescent="0.25">
      <c r="C460" s="12" t="s">
        <v>5971</v>
      </c>
    </row>
    <row r="463" spans="3:21" x14ac:dyDescent="0.25">
      <c r="D463" s="12" t="s">
        <v>5547</v>
      </c>
      <c r="L463" s="12">
        <v>9156</v>
      </c>
      <c r="U463" s="12">
        <v>9155454.75</v>
      </c>
    </row>
    <row r="464" spans="3:21" x14ac:dyDescent="0.25">
      <c r="D464" s="12" t="s">
        <v>4519</v>
      </c>
      <c r="U464" s="12">
        <v>491082.02</v>
      </c>
    </row>
    <row r="465" spans="3:21" x14ac:dyDescent="0.25">
      <c r="D465" s="12" t="s">
        <v>4520</v>
      </c>
      <c r="U465" s="12">
        <v>413227.86</v>
      </c>
    </row>
    <row r="466" spans="3:21" x14ac:dyDescent="0.25">
      <c r="D466" s="12" t="s">
        <v>4521</v>
      </c>
      <c r="U466" s="12">
        <v>157361.20000000001</v>
      </c>
    </row>
    <row r="467" spans="3:21" x14ac:dyDescent="0.25">
      <c r="D467" s="12" t="s">
        <v>5972</v>
      </c>
      <c r="U467" s="12">
        <v>123334.53</v>
      </c>
    </row>
    <row r="468" spans="3:21" x14ac:dyDescent="0.25">
      <c r="D468" s="12" t="s">
        <v>5973</v>
      </c>
      <c r="U468" s="12">
        <v>100000</v>
      </c>
    </row>
    <row r="469" spans="3:21" x14ac:dyDescent="0.25">
      <c r="U469" s="12">
        <v>1105094.1100000013</v>
      </c>
    </row>
    <row r="475" spans="3:21" x14ac:dyDescent="0.25">
      <c r="C475" s="12" t="s">
        <v>5970</v>
      </c>
    </row>
    <row r="481" spans="21:21" x14ac:dyDescent="0.25">
      <c r="U481" s="12">
        <v>2225035.19</v>
      </c>
    </row>
  </sheetData>
  <pageMargins left="0.23611111111111099" right="0.23611111111111099" top="0.56818181818181823" bottom="0.60902777777777795" header="0.31527777777777799" footer="0.31527777777777799"/>
  <pageSetup paperSize="9" scale="75" orientation="portrait" r:id="rId1"/>
  <headerFooter>
    <oddHeader>&amp;C&amp;G</oddHeader>
    <oddFooter>&amp;C&amp;G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B98-9615-4806-BE18-BC7EFF70D039}">
  <sheetPr>
    <tabColor rgb="FFFFFF00"/>
    <pageSetUpPr fitToPage="1"/>
  </sheetPr>
  <dimension ref="A1:L661"/>
  <sheetViews>
    <sheetView showGridLines="0" tabSelected="1" zoomScaleNormal="100" workbookViewId="0">
      <selection activeCell="M16" sqref="M16"/>
    </sheetView>
  </sheetViews>
  <sheetFormatPr defaultColWidth="9.140625" defaultRowHeight="15.75" x14ac:dyDescent="0.25"/>
  <cols>
    <col min="1" max="1" width="2" style="11" customWidth="1"/>
    <col min="2" max="3" width="1.42578125" style="11" customWidth="1"/>
    <col min="4" max="4" width="62.7109375" style="11" customWidth="1"/>
    <col min="5" max="5" width="9.7109375" style="11" customWidth="1"/>
    <col min="6" max="6" width="8.7109375" style="151" customWidth="1"/>
    <col min="7" max="7" width="3.28515625" style="11" customWidth="1"/>
    <col min="8" max="8" width="20.85546875" style="11" customWidth="1"/>
    <col min="9" max="9" width="11.28515625" style="11" bestFit="1" customWidth="1"/>
    <col min="10" max="10" width="20.85546875" style="11" customWidth="1"/>
    <col min="11" max="11" width="9.85546875" style="11" customWidth="1"/>
    <col min="12" max="12" width="9.85546875" style="716" customWidth="1"/>
    <col min="13" max="13" width="1.42578125" style="11" customWidth="1"/>
    <col min="14" max="16384" width="9.140625" style="11"/>
  </cols>
  <sheetData>
    <row r="1" spans="1:12" ht="12" customHeight="1" x14ac:dyDescent="0.25">
      <c r="B1" s="952"/>
      <c r="C1" s="952"/>
      <c r="D1" s="952"/>
      <c r="E1" s="952"/>
      <c r="F1" s="952"/>
      <c r="G1" s="952"/>
      <c r="H1" s="952"/>
      <c r="I1" s="952"/>
      <c r="J1" s="952"/>
    </row>
    <row r="2" spans="1:12" s="20" customFormat="1" ht="18.75" customHeight="1" x14ac:dyDescent="0.2">
      <c r="B2" s="952" t="s">
        <v>4486</v>
      </c>
      <c r="C2" s="952"/>
      <c r="D2" s="952"/>
      <c r="E2" s="952"/>
      <c r="F2" s="952"/>
      <c r="G2" s="952"/>
      <c r="H2" s="952"/>
      <c r="I2" s="952"/>
      <c r="J2" s="952"/>
      <c r="L2" s="58"/>
    </row>
    <row r="3" spans="1:12" s="20" customFormat="1" ht="18.75" customHeight="1" x14ac:dyDescent="0.2">
      <c r="B3" s="952" t="s">
        <v>7309</v>
      </c>
      <c r="C3" s="952"/>
      <c r="D3" s="952"/>
      <c r="E3" s="952"/>
      <c r="F3" s="952"/>
      <c r="G3" s="952"/>
      <c r="H3" s="952"/>
      <c r="I3" s="952"/>
      <c r="J3" s="952"/>
      <c r="L3" s="58"/>
    </row>
    <row r="4" spans="1:12" s="20" customFormat="1" ht="12" customHeight="1" x14ac:dyDescent="0.2">
      <c r="B4" s="953" t="s">
        <v>4379</v>
      </c>
      <c r="C4" s="953"/>
      <c r="D4" s="953"/>
      <c r="E4" s="953"/>
      <c r="F4" s="953"/>
      <c r="G4" s="953"/>
      <c r="H4" s="953"/>
      <c r="I4" s="953"/>
      <c r="J4" s="953"/>
      <c r="L4" s="58"/>
    </row>
    <row r="5" spans="1:12" s="20" customFormat="1" ht="18.75" customHeight="1" x14ac:dyDescent="0.2">
      <c r="B5" s="954" t="s">
        <v>7167</v>
      </c>
      <c r="C5" s="954"/>
      <c r="D5" s="954"/>
      <c r="E5" s="954"/>
      <c r="F5" s="954"/>
      <c r="G5" s="954"/>
      <c r="H5" s="954"/>
      <c r="I5" s="954"/>
      <c r="J5" s="954"/>
      <c r="L5" s="58"/>
    </row>
    <row r="6" spans="1:12" s="20" customFormat="1" ht="12" customHeight="1" x14ac:dyDescent="0.2">
      <c r="B6" s="952"/>
      <c r="C6" s="952"/>
      <c r="D6" s="952"/>
      <c r="E6" s="952"/>
      <c r="F6" s="952"/>
      <c r="G6" s="952"/>
      <c r="H6" s="952"/>
      <c r="I6" s="952"/>
      <c r="J6" s="952"/>
      <c r="L6" s="58"/>
    </row>
    <row r="7" spans="1:12" s="20" customFormat="1" ht="18.75" customHeight="1" x14ac:dyDescent="0.2">
      <c r="A7" s="176"/>
      <c r="B7" s="209"/>
      <c r="C7" s="209"/>
      <c r="D7" s="209"/>
      <c r="E7" s="209"/>
      <c r="F7" s="424"/>
      <c r="G7" s="209"/>
      <c r="H7" s="209"/>
      <c r="I7" s="209"/>
      <c r="J7" s="182" t="s">
        <v>4380</v>
      </c>
      <c r="K7" s="176"/>
      <c r="L7" s="58"/>
    </row>
    <row r="8" spans="1:12" s="20" customFormat="1" ht="18.75" customHeight="1" x14ac:dyDescent="0.2">
      <c r="A8" s="176"/>
      <c r="B8" s="209"/>
      <c r="C8" s="209"/>
      <c r="D8" s="209"/>
      <c r="E8" s="209"/>
      <c r="F8" s="424"/>
      <c r="G8" s="209"/>
      <c r="H8" s="108">
        <v>46022</v>
      </c>
      <c r="I8" s="108" t="s">
        <v>4384</v>
      </c>
      <c r="J8" s="108">
        <v>45657</v>
      </c>
      <c r="K8" s="108" t="s">
        <v>4384</v>
      </c>
      <c r="L8" s="717" t="s">
        <v>4381</v>
      </c>
    </row>
    <row r="9" spans="1:12" s="20" customFormat="1" ht="21.75" hidden="1" customHeight="1" x14ac:dyDescent="0.2">
      <c r="A9" s="176"/>
      <c r="B9" s="209"/>
      <c r="C9" s="209"/>
      <c r="D9" s="209"/>
      <c r="E9" s="209"/>
      <c r="F9" s="424"/>
      <c r="G9" s="209"/>
      <c r="H9" s="138" t="s">
        <v>4383</v>
      </c>
      <c r="I9" s="138"/>
      <c r="J9" s="138" t="s">
        <v>4386</v>
      </c>
      <c r="K9" s="425"/>
      <c r="L9" s="58"/>
    </row>
    <row r="10" spans="1:12" s="20" customFormat="1" ht="12" customHeight="1" x14ac:dyDescent="0.2">
      <c r="A10" s="176"/>
      <c r="B10" s="209"/>
      <c r="C10" s="209"/>
      <c r="D10" s="209"/>
      <c r="E10" s="209"/>
      <c r="F10" s="424"/>
      <c r="G10" s="209"/>
      <c r="H10" s="139"/>
      <c r="I10" s="139"/>
      <c r="J10" s="139"/>
      <c r="K10" s="176"/>
      <c r="L10" s="58"/>
    </row>
    <row r="11" spans="1:12" s="20" customFormat="1" ht="18.75" customHeight="1" thickBot="1" x14ac:dyDescent="0.3">
      <c r="A11" s="176"/>
      <c r="B11" s="950" t="s">
        <v>7166</v>
      </c>
      <c r="C11" s="950"/>
      <c r="D11" s="950"/>
      <c r="E11" s="950"/>
      <c r="F11" s="950"/>
      <c r="G11" s="950"/>
      <c r="H11" s="950"/>
      <c r="I11" s="950"/>
      <c r="J11" s="951"/>
      <c r="K11" s="176"/>
      <c r="L11" s="58"/>
    </row>
    <row r="12" spans="1:12" s="20" customFormat="1" ht="19.5" thickTop="1" x14ac:dyDescent="0.2">
      <c r="A12" s="176"/>
      <c r="B12" s="109" t="s">
        <v>4388</v>
      </c>
      <c r="C12" s="109"/>
      <c r="D12" s="110"/>
      <c r="E12" s="111"/>
      <c r="F12" s="111"/>
      <c r="G12" s="112"/>
      <c r="H12" s="113">
        <v>307217</v>
      </c>
      <c r="I12" s="703">
        <v>30.428133092970448</v>
      </c>
      <c r="J12" s="113">
        <v>268060</v>
      </c>
      <c r="K12" s="704">
        <v>31.384459037813318</v>
      </c>
      <c r="L12" s="704">
        <v>14.607550548384696</v>
      </c>
    </row>
    <row r="13" spans="1:12" s="20" customFormat="1" ht="8.1" customHeight="1" x14ac:dyDescent="0.2">
      <c r="A13" s="176"/>
      <c r="B13" s="124"/>
      <c r="C13" s="124"/>
      <c r="D13" s="124"/>
      <c r="E13" s="125"/>
      <c r="F13" s="125"/>
      <c r="G13" s="126"/>
      <c r="H13" s="126"/>
      <c r="I13" s="701"/>
      <c r="J13" s="126"/>
      <c r="K13" s="705"/>
      <c r="L13" s="705"/>
    </row>
    <row r="14" spans="1:12" s="20" customFormat="1" ht="18.75" x14ac:dyDescent="0.2">
      <c r="A14" s="176"/>
      <c r="B14" s="114"/>
      <c r="C14" s="114"/>
      <c r="D14" s="114" t="s">
        <v>742</v>
      </c>
      <c r="E14" s="115"/>
      <c r="F14" s="115">
        <v>4</v>
      </c>
      <c r="G14" s="116"/>
      <c r="H14" s="117">
        <v>78725</v>
      </c>
      <c r="I14" s="700">
        <v>8.3728177230402707</v>
      </c>
      <c r="J14" s="117">
        <v>49295</v>
      </c>
      <c r="K14" s="706">
        <v>5.7714575403603954</v>
      </c>
      <c r="L14" s="706">
        <v>59.701795313926368</v>
      </c>
    </row>
    <row r="15" spans="1:12" s="20" customFormat="1" ht="18.75" x14ac:dyDescent="0.2">
      <c r="A15" s="176"/>
      <c r="B15" s="114"/>
      <c r="C15" s="114"/>
      <c r="D15" s="114" t="s">
        <v>4389</v>
      </c>
      <c r="E15" s="115"/>
      <c r="F15" s="115">
        <v>5</v>
      </c>
      <c r="G15" s="116"/>
      <c r="H15" s="117">
        <v>61119</v>
      </c>
      <c r="I15" s="700">
        <v>6.5003270424197943</v>
      </c>
      <c r="J15" s="117">
        <v>40380</v>
      </c>
      <c r="K15" s="706">
        <v>4.7276895319962025</v>
      </c>
      <c r="L15" s="706">
        <v>51.3595839524517</v>
      </c>
    </row>
    <row r="16" spans="1:12" s="20" customFormat="1" ht="18.75" x14ac:dyDescent="0.2">
      <c r="A16" s="176"/>
      <c r="B16" s="114"/>
      <c r="C16" s="114"/>
      <c r="D16" s="114" t="s">
        <v>829</v>
      </c>
      <c r="E16" s="115"/>
      <c r="F16" s="115">
        <v>6</v>
      </c>
      <c r="G16" s="118"/>
      <c r="H16" s="117">
        <v>124681</v>
      </c>
      <c r="I16" s="700">
        <v>13.260479981281476</v>
      </c>
      <c r="J16" s="117">
        <v>147728</v>
      </c>
      <c r="K16" s="706">
        <v>17.29599106445604</v>
      </c>
      <c r="L16" s="706">
        <v>-15.600969349073978</v>
      </c>
    </row>
    <row r="17" spans="1:12" s="20" customFormat="1" ht="18.75" x14ac:dyDescent="0.2">
      <c r="A17" s="176"/>
      <c r="B17" s="114"/>
      <c r="C17" s="114"/>
      <c r="D17" s="114" t="s">
        <v>4390</v>
      </c>
      <c r="E17" s="115"/>
      <c r="F17" s="115">
        <v>7</v>
      </c>
      <c r="G17" s="118"/>
      <c r="H17" s="117">
        <v>5287</v>
      </c>
      <c r="I17" s="700">
        <v>0.56230025153018626</v>
      </c>
      <c r="J17" s="117">
        <v>11530</v>
      </c>
      <c r="K17" s="706">
        <v>1.3499321521524568</v>
      </c>
      <c r="L17" s="706">
        <v>-54.145706851691244</v>
      </c>
    </row>
    <row r="18" spans="1:12" s="20" customFormat="1" ht="18.75" x14ac:dyDescent="0.2">
      <c r="A18" s="176"/>
      <c r="B18" s="114"/>
      <c r="C18" s="114"/>
      <c r="D18" s="114" t="s">
        <v>4391</v>
      </c>
      <c r="E18" s="115"/>
      <c r="F18" s="115">
        <v>8</v>
      </c>
      <c r="G18" s="118"/>
      <c r="H18" s="117">
        <v>16287</v>
      </c>
      <c r="I18" s="700">
        <v>1.7322080946987222</v>
      </c>
      <c r="J18" s="117">
        <v>19127</v>
      </c>
      <c r="K18" s="706">
        <v>2.2393887488482256</v>
      </c>
      <c r="L18" s="706">
        <v>-14.848120457991321</v>
      </c>
    </row>
    <row r="19" spans="1:12" s="20" customFormat="1" ht="18.75" x14ac:dyDescent="0.2">
      <c r="A19" s="176"/>
      <c r="B19" s="114"/>
      <c r="C19" s="114"/>
      <c r="D19" s="114" t="s">
        <v>7318</v>
      </c>
      <c r="E19" s="115"/>
      <c r="F19" s="115">
        <v>9</v>
      </c>
      <c r="G19" s="810"/>
      <c r="H19" s="117">
        <v>21118</v>
      </c>
      <c r="I19" s="700">
        <v>2.2460103483666489</v>
      </c>
      <c r="J19" s="117">
        <v>0</v>
      </c>
      <c r="K19" s="706"/>
      <c r="L19" s="706"/>
    </row>
    <row r="20" spans="1:12" s="20" customFormat="1" ht="8.1" customHeight="1" x14ac:dyDescent="0.2">
      <c r="A20" s="176"/>
      <c r="B20" s="209"/>
      <c r="C20" s="209"/>
      <c r="D20" s="209"/>
      <c r="E20" s="209"/>
      <c r="F20" s="424"/>
      <c r="G20" s="209"/>
      <c r="H20" s="119"/>
      <c r="I20" s="700"/>
      <c r="J20" s="119"/>
      <c r="K20" s="707"/>
      <c r="L20" s="707"/>
    </row>
    <row r="21" spans="1:12" s="23" customFormat="1" ht="18.75" x14ac:dyDescent="0.2">
      <c r="A21" s="207"/>
      <c r="B21" s="120" t="s">
        <v>4392</v>
      </c>
      <c r="C21" s="121"/>
      <c r="D21" s="121"/>
      <c r="E21" s="122"/>
      <c r="F21" s="122"/>
      <c r="G21" s="123"/>
      <c r="H21" s="422">
        <v>633028</v>
      </c>
      <c r="I21" s="700">
        <v>67.325856558662906</v>
      </c>
      <c r="J21" s="422">
        <v>586057</v>
      </c>
      <c r="K21" s="708">
        <v>68.615540962186685</v>
      </c>
      <c r="L21" s="708">
        <v>8.0147494185719204</v>
      </c>
    </row>
    <row r="22" spans="1:12" s="20" customFormat="1" ht="8.1" customHeight="1" x14ac:dyDescent="0.2">
      <c r="A22" s="176"/>
      <c r="B22" s="124"/>
      <c r="C22" s="124"/>
      <c r="D22" s="124"/>
      <c r="E22" s="125"/>
      <c r="F22" s="125"/>
      <c r="G22" s="126"/>
      <c r="H22" s="126"/>
      <c r="I22" s="701"/>
      <c r="J22" s="126"/>
      <c r="K22" s="705"/>
      <c r="L22" s="705"/>
    </row>
    <row r="23" spans="1:12" s="20" customFormat="1" ht="18.75" x14ac:dyDescent="0.2">
      <c r="A23" s="176"/>
      <c r="B23" s="127"/>
      <c r="C23" s="128" t="s">
        <v>4393</v>
      </c>
      <c r="D23" s="128"/>
      <c r="E23" s="129"/>
      <c r="F23" s="129"/>
      <c r="G23" s="130"/>
      <c r="H23" s="119">
        <v>363293</v>
      </c>
      <c r="I23" s="700">
        <v>38.638120915293356</v>
      </c>
      <c r="J23" s="119">
        <v>317232</v>
      </c>
      <c r="K23" s="141">
        <v>37.141515740817709</v>
      </c>
      <c r="L23" s="706">
        <v>14.519657537701125</v>
      </c>
    </row>
    <row r="24" spans="1:12" s="20" customFormat="1" ht="18.75" x14ac:dyDescent="0.2">
      <c r="A24" s="176"/>
      <c r="B24" s="114"/>
      <c r="C24" s="114"/>
      <c r="D24" s="114" t="s">
        <v>7218</v>
      </c>
      <c r="E24" s="115"/>
      <c r="F24" s="115">
        <v>10</v>
      </c>
      <c r="G24" s="118"/>
      <c r="H24" s="117">
        <v>355785</v>
      </c>
      <c r="I24" s="700">
        <v>37.839605634701599</v>
      </c>
      <c r="J24" s="119">
        <v>309528</v>
      </c>
      <c r="K24" s="141">
        <v>36.239531586422004</v>
      </c>
      <c r="L24" s="706">
        <v>14.944366907032647</v>
      </c>
    </row>
    <row r="25" spans="1:12" s="20" customFormat="1" ht="18.75" x14ac:dyDescent="0.2">
      <c r="A25" s="176"/>
      <c r="B25" s="114"/>
      <c r="C25" s="114"/>
      <c r="D25" s="114" t="s">
        <v>4394</v>
      </c>
      <c r="E25" s="115"/>
      <c r="F25" s="115">
        <v>11</v>
      </c>
      <c r="G25" s="118"/>
      <c r="H25" s="117">
        <v>4044</v>
      </c>
      <c r="I25" s="700">
        <v>0.43010066525214175</v>
      </c>
      <c r="J25" s="119">
        <v>4007</v>
      </c>
      <c r="K25" s="141">
        <v>0.46913947386599264</v>
      </c>
      <c r="L25" s="706">
        <v>0.92338407786374255</v>
      </c>
    </row>
    <row r="26" spans="1:12" s="20" customFormat="1" ht="18.75" x14ac:dyDescent="0.2">
      <c r="A26" s="176"/>
      <c r="B26" s="114"/>
      <c r="C26" s="114"/>
      <c r="D26" s="114" t="s">
        <v>1231</v>
      </c>
      <c r="E26" s="115"/>
      <c r="F26" s="115">
        <v>12</v>
      </c>
      <c r="G26" s="118"/>
      <c r="H26" s="117">
        <v>3464</v>
      </c>
      <c r="I26" s="700">
        <v>0.36841461533961889</v>
      </c>
      <c r="J26" s="119">
        <v>3697</v>
      </c>
      <c r="K26" s="141">
        <v>0.43284468052971664</v>
      </c>
      <c r="L26" s="706">
        <v>-6.3024073573167421</v>
      </c>
    </row>
    <row r="27" spans="1:12" s="20" customFormat="1" ht="18.75" x14ac:dyDescent="0.2">
      <c r="A27" s="176"/>
      <c r="B27" s="127"/>
      <c r="C27" s="128" t="s">
        <v>4361</v>
      </c>
      <c r="D27" s="128"/>
      <c r="E27" s="115"/>
      <c r="F27" s="115">
        <v>13</v>
      </c>
      <c r="G27" s="132"/>
      <c r="H27" s="117">
        <v>293690</v>
      </c>
      <c r="I27" s="700">
        <v>31.23547586001521</v>
      </c>
      <c r="J27" s="119">
        <v>294226</v>
      </c>
      <c r="K27" s="141">
        <v>34.447973755352017</v>
      </c>
      <c r="L27" s="706">
        <v>-0.18217288750824734</v>
      </c>
    </row>
    <row r="28" spans="1:12" s="20" customFormat="1" ht="18.75" x14ac:dyDescent="0.2">
      <c r="A28" s="176"/>
      <c r="B28" s="128"/>
      <c r="C28" s="128" t="s">
        <v>4377</v>
      </c>
      <c r="D28" s="129"/>
      <c r="E28" s="128"/>
      <c r="F28" s="115">
        <v>14</v>
      </c>
      <c r="G28" s="131"/>
      <c r="H28" s="117">
        <v>1415</v>
      </c>
      <c r="I28" s="700">
        <v>0.15049269073486166</v>
      </c>
      <c r="J28" s="119">
        <v>1459</v>
      </c>
      <c r="K28" s="141">
        <v>0.17081968863750516</v>
      </c>
      <c r="L28" s="706">
        <v>-3.0157642220699055</v>
      </c>
    </row>
    <row r="29" spans="1:12" s="20" customFormat="1" ht="18.75" x14ac:dyDescent="0.2">
      <c r="A29" s="176"/>
      <c r="C29" s="127" t="s">
        <v>4395</v>
      </c>
      <c r="D29" s="128"/>
      <c r="E29" s="129"/>
      <c r="F29" s="115">
        <v>15</v>
      </c>
      <c r="G29" s="132"/>
      <c r="H29" s="117">
        <v>-25370</v>
      </c>
      <c r="I29" s="141">
        <v>-2.6982329073805231</v>
      </c>
      <c r="J29" s="119">
        <v>-26860</v>
      </c>
      <c r="K29" s="141">
        <v>-3.1447682226205544</v>
      </c>
      <c r="L29" s="706">
        <v>-5.5472822040208536</v>
      </c>
    </row>
    <row r="30" spans="1:12" s="20" customFormat="1" ht="8.1" customHeight="1" x14ac:dyDescent="0.2">
      <c r="A30" s="176"/>
      <c r="B30" s="114"/>
      <c r="C30" s="114"/>
      <c r="D30" s="114"/>
      <c r="E30" s="115"/>
      <c r="F30" s="115"/>
      <c r="G30" s="116"/>
      <c r="H30" s="119"/>
      <c r="I30" s="702"/>
      <c r="J30" s="119"/>
      <c r="K30" s="707"/>
      <c r="L30" s="707"/>
    </row>
    <row r="31" spans="1:12" s="20" customFormat="1" ht="19.5" thickBot="1" x14ac:dyDescent="0.25">
      <c r="A31" s="176"/>
      <c r="B31" s="133" t="s">
        <v>4396</v>
      </c>
      <c r="C31" s="134"/>
      <c r="D31" s="134"/>
      <c r="E31" s="135"/>
      <c r="F31" s="135"/>
      <c r="G31" s="136"/>
      <c r="H31" s="423">
        <v>940245</v>
      </c>
      <c r="I31" s="143">
        <v>97.753989651633361</v>
      </c>
      <c r="J31" s="423">
        <v>854117</v>
      </c>
      <c r="K31" s="709">
        <v>100</v>
      </c>
      <c r="L31" s="709">
        <v>10.083864388602493</v>
      </c>
    </row>
    <row r="32" spans="1:12" ht="10.5" customHeight="1" thickTop="1" x14ac:dyDescent="0.25">
      <c r="A32" s="173"/>
      <c r="B32" s="426"/>
      <c r="C32" s="426"/>
      <c r="D32" s="426"/>
      <c r="E32" s="427"/>
      <c r="F32" s="427"/>
      <c r="G32" s="426"/>
      <c r="H32" s="426"/>
      <c r="I32" s="426"/>
      <c r="J32" s="174"/>
      <c r="K32" s="710"/>
      <c r="L32" s="710"/>
    </row>
    <row r="33" spans="1:12" s="20" customFormat="1" ht="24.75" customHeight="1" thickBot="1" x14ac:dyDescent="0.3">
      <c r="A33" s="176"/>
      <c r="B33" s="950" t="s">
        <v>4398</v>
      </c>
      <c r="C33" s="950"/>
      <c r="D33" s="950"/>
      <c r="E33" s="950"/>
      <c r="F33" s="950"/>
      <c r="G33" s="950"/>
      <c r="H33" s="950"/>
      <c r="I33" s="950"/>
      <c r="J33" s="951"/>
      <c r="K33" s="711"/>
      <c r="L33" s="718"/>
    </row>
    <row r="34" spans="1:12" ht="19.5" thickTop="1" x14ac:dyDescent="0.25">
      <c r="A34" s="173"/>
      <c r="B34" s="109" t="s">
        <v>4399</v>
      </c>
      <c r="C34" s="109"/>
      <c r="D34" s="110"/>
      <c r="E34" s="111"/>
      <c r="F34" s="111"/>
      <c r="G34" s="112"/>
      <c r="H34" s="113">
        <v>261272</v>
      </c>
      <c r="I34" s="704">
        <v>27.787651090939068</v>
      </c>
      <c r="J34" s="113">
        <v>243300</v>
      </c>
      <c r="K34" s="704">
        <v>28.485558770051412</v>
      </c>
      <c r="L34" s="704">
        <v>7.3867653103164788</v>
      </c>
    </row>
    <row r="35" spans="1:12" s="20" customFormat="1" ht="8.1" customHeight="1" x14ac:dyDescent="0.2">
      <c r="A35" s="176"/>
      <c r="B35" s="124"/>
      <c r="C35" s="124"/>
      <c r="D35" s="124"/>
      <c r="E35" s="125"/>
      <c r="F35" s="125"/>
      <c r="G35" s="126"/>
      <c r="H35" s="126"/>
      <c r="I35" s="705"/>
      <c r="J35" s="126"/>
      <c r="K35" s="705"/>
      <c r="L35" s="705"/>
    </row>
    <row r="36" spans="1:12" ht="18.75" x14ac:dyDescent="0.25">
      <c r="A36" s="173"/>
      <c r="B36" s="114"/>
      <c r="C36" s="114"/>
      <c r="D36" s="114" t="s">
        <v>1339</v>
      </c>
      <c r="E36" s="115"/>
      <c r="F36" s="115">
        <v>16</v>
      </c>
      <c r="G36" s="116"/>
      <c r="H36" s="117">
        <v>35965</v>
      </c>
      <c r="I36" s="707">
        <v>3.825066870868763</v>
      </c>
      <c r="J36" s="117">
        <v>23643</v>
      </c>
      <c r="K36" s="706">
        <v>2.7681219317728134</v>
      </c>
      <c r="L36" s="706">
        <v>52.116905638032392</v>
      </c>
    </row>
    <row r="37" spans="1:12" ht="18.75" x14ac:dyDescent="0.25">
      <c r="A37" s="173"/>
      <c r="B37" s="114"/>
      <c r="C37" s="114"/>
      <c r="D37" s="114" t="s">
        <v>4400</v>
      </c>
      <c r="E37" s="115"/>
      <c r="F37" s="115">
        <v>17</v>
      </c>
      <c r="G37" s="116"/>
      <c r="H37" s="117">
        <v>68487</v>
      </c>
      <c r="I37" s="707">
        <v>7.2839525868257748</v>
      </c>
      <c r="J37" s="117">
        <v>64466</v>
      </c>
      <c r="K37" s="706">
        <v>7.5476778942463376</v>
      </c>
      <c r="L37" s="706">
        <v>6.2373964570471285</v>
      </c>
    </row>
    <row r="38" spans="1:12" ht="18.75" x14ac:dyDescent="0.25">
      <c r="A38" s="173"/>
      <c r="B38" s="114"/>
      <c r="C38" s="114"/>
      <c r="D38" s="114" t="s">
        <v>2150</v>
      </c>
      <c r="E38" s="115"/>
      <c r="F38" s="115">
        <v>18</v>
      </c>
      <c r="G38" s="116"/>
      <c r="H38" s="117">
        <v>17938</v>
      </c>
      <c r="I38" s="707">
        <v>1.9078006264324723</v>
      </c>
      <c r="J38" s="117">
        <v>22360</v>
      </c>
      <c r="K38" s="706">
        <v>2.6179083193520327</v>
      </c>
      <c r="L38" s="706">
        <v>-19.776386404293376</v>
      </c>
    </row>
    <row r="39" spans="1:12" ht="18.75" x14ac:dyDescent="0.25">
      <c r="A39" s="173"/>
      <c r="B39" s="114"/>
      <c r="C39" s="114"/>
      <c r="D39" s="114" t="s">
        <v>4401</v>
      </c>
      <c r="E39" s="115"/>
      <c r="F39" s="115">
        <v>19</v>
      </c>
      <c r="G39" s="116"/>
      <c r="H39" s="117">
        <v>48051</v>
      </c>
      <c r="I39" s="707">
        <v>5.1104765247355743</v>
      </c>
      <c r="J39" s="117">
        <v>45745</v>
      </c>
      <c r="K39" s="706">
        <v>5.3558236166707838</v>
      </c>
      <c r="L39" s="706">
        <v>5.0409880861296275</v>
      </c>
    </row>
    <row r="40" spans="1:12" ht="18.75" x14ac:dyDescent="0.25">
      <c r="A40" s="173"/>
      <c r="B40" s="114"/>
      <c r="C40" s="114"/>
      <c r="D40" s="114" t="s">
        <v>4402</v>
      </c>
      <c r="E40" s="115"/>
      <c r="F40" s="115">
        <v>20</v>
      </c>
      <c r="G40" s="116"/>
      <c r="H40" s="117">
        <v>5371</v>
      </c>
      <c r="I40" s="707">
        <v>0.57123409324165508</v>
      </c>
      <c r="J40" s="117">
        <v>3711</v>
      </c>
      <c r="K40" s="706">
        <v>0.43448380022877431</v>
      </c>
      <c r="L40" s="706">
        <v>44.731878199946109</v>
      </c>
    </row>
    <row r="41" spans="1:12" ht="18.75" x14ac:dyDescent="0.25">
      <c r="A41" s="173"/>
      <c r="B41" s="114"/>
      <c r="C41" s="114"/>
      <c r="D41" s="114" t="s">
        <v>7170</v>
      </c>
      <c r="E41" s="115"/>
      <c r="F41" s="115">
        <v>21</v>
      </c>
      <c r="G41" s="116"/>
      <c r="H41" s="117">
        <v>30675</v>
      </c>
      <c r="I41" s="707">
        <v>3.2624475535631672</v>
      </c>
      <c r="J41" s="117">
        <v>27845</v>
      </c>
      <c r="K41" s="706">
        <v>3.2600920014471084</v>
      </c>
      <c r="L41" s="706">
        <v>10.163404560962475</v>
      </c>
    </row>
    <row r="42" spans="1:12" ht="18.75" x14ac:dyDescent="0.25">
      <c r="A42" s="173"/>
      <c r="B42" s="114"/>
      <c r="C42" s="114"/>
      <c r="D42" s="114" t="s">
        <v>4403</v>
      </c>
      <c r="E42" s="115"/>
      <c r="F42" s="115">
        <v>22</v>
      </c>
      <c r="G42" s="116"/>
      <c r="H42" s="117">
        <v>54785</v>
      </c>
      <c r="I42" s="707">
        <v>5.8266728352716584</v>
      </c>
      <c r="J42" s="117">
        <v>55530</v>
      </c>
      <c r="K42" s="706">
        <v>6.5014512063335586</v>
      </c>
      <c r="L42" s="706">
        <v>-1.3416171438861868</v>
      </c>
    </row>
    <row r="43" spans="1:12" ht="8.1" customHeight="1" x14ac:dyDescent="0.25">
      <c r="A43" s="173"/>
      <c r="B43" s="176"/>
      <c r="C43" s="176"/>
      <c r="D43" s="176"/>
      <c r="E43" s="176"/>
      <c r="F43" s="428"/>
      <c r="G43" s="176"/>
      <c r="H43" s="591"/>
      <c r="I43" s="707"/>
      <c r="J43" s="591"/>
      <c r="K43" s="706"/>
      <c r="L43" s="719"/>
    </row>
    <row r="44" spans="1:12" ht="18.75" x14ac:dyDescent="0.25">
      <c r="A44" s="173"/>
      <c r="B44" s="109" t="s">
        <v>4404</v>
      </c>
      <c r="C44" s="109"/>
      <c r="D44" s="110"/>
      <c r="E44" s="111"/>
      <c r="F44" s="111"/>
      <c r="G44" s="112"/>
      <c r="H44" s="113">
        <v>426061</v>
      </c>
      <c r="I44" s="708">
        <v>45.313827778929962</v>
      </c>
      <c r="J44" s="149">
        <v>353818</v>
      </c>
      <c r="K44" s="708">
        <v>41.425003834369292</v>
      </c>
      <c r="L44" s="713">
        <v>20.418124572520348</v>
      </c>
    </row>
    <row r="45" spans="1:12" ht="8.1" customHeight="1" x14ac:dyDescent="0.25">
      <c r="A45" s="173"/>
      <c r="B45" s="207"/>
      <c r="C45" s="176"/>
      <c r="D45" s="176"/>
      <c r="E45" s="176"/>
      <c r="F45" s="428"/>
      <c r="G45" s="176"/>
      <c r="H45" s="591"/>
      <c r="I45" s="705"/>
      <c r="J45" s="592"/>
      <c r="K45" s="705"/>
      <c r="L45" s="719"/>
    </row>
    <row r="46" spans="1:12" ht="18.75" x14ac:dyDescent="0.25">
      <c r="A46" s="173"/>
      <c r="B46" s="144"/>
      <c r="C46" s="144" t="s">
        <v>4405</v>
      </c>
      <c r="D46" s="145"/>
      <c r="E46" s="146"/>
      <c r="F46" s="146"/>
      <c r="G46" s="147"/>
      <c r="H46" s="148">
        <v>426061</v>
      </c>
      <c r="I46" s="707">
        <v>45.313827778929962</v>
      </c>
      <c r="J46" s="148">
        <v>353818</v>
      </c>
      <c r="K46" s="706">
        <v>41.425003834369292</v>
      </c>
      <c r="L46" s="720">
        <v>20.418124572520348</v>
      </c>
    </row>
    <row r="47" spans="1:12" ht="18.75" hidden="1" x14ac:dyDescent="0.25">
      <c r="A47" s="173"/>
      <c r="B47" s="176"/>
      <c r="C47" s="176"/>
      <c r="D47" s="209" t="s">
        <v>2768</v>
      </c>
      <c r="E47" s="209"/>
      <c r="F47" s="430"/>
      <c r="G47" s="209"/>
      <c r="H47" s="117" t="e">
        <v>#REF!</v>
      </c>
      <c r="I47" s="707" t="e">
        <v>#REF!</v>
      </c>
      <c r="J47" s="117" t="e">
        <v>#REF!</v>
      </c>
      <c r="K47" s="706" t="e">
        <v>#REF!</v>
      </c>
      <c r="L47" s="706" t="e">
        <v>#REF!</v>
      </c>
    </row>
    <row r="48" spans="1:12" ht="18.75" hidden="1" x14ac:dyDescent="0.25">
      <c r="A48" s="173"/>
      <c r="B48" s="176"/>
      <c r="C48" s="176"/>
      <c r="D48" s="209" t="s">
        <v>2745</v>
      </c>
      <c r="E48" s="209"/>
      <c r="F48" s="424">
        <v>19</v>
      </c>
      <c r="G48" s="209"/>
      <c r="H48" s="117" t="e">
        <v>#REF!</v>
      </c>
      <c r="I48" s="707" t="e">
        <v>#REF!</v>
      </c>
      <c r="J48" s="117" t="e">
        <v>#REF!</v>
      </c>
      <c r="K48" s="706" t="e">
        <v>#REF!</v>
      </c>
      <c r="L48" s="706" t="e">
        <v>#REF!</v>
      </c>
    </row>
    <row r="49" spans="1:12" ht="18.75" hidden="1" x14ac:dyDescent="0.25">
      <c r="A49" s="173"/>
      <c r="B49" s="176"/>
      <c r="C49" s="176"/>
      <c r="D49" s="209" t="s">
        <v>1339</v>
      </c>
      <c r="E49" s="209"/>
      <c r="F49" s="424">
        <v>16</v>
      </c>
      <c r="G49" s="209"/>
      <c r="H49" s="117">
        <v>0</v>
      </c>
      <c r="I49" s="707"/>
      <c r="J49" s="117"/>
      <c r="K49" s="706"/>
      <c r="L49" s="706"/>
    </row>
    <row r="50" spans="1:12" ht="18.75" x14ac:dyDescent="0.25">
      <c r="A50" s="173"/>
      <c r="B50" s="176"/>
      <c r="C50" s="176"/>
      <c r="D50" s="114" t="s">
        <v>2150</v>
      </c>
      <c r="E50" s="115"/>
      <c r="F50" s="115">
        <v>18</v>
      </c>
      <c r="G50" s="116"/>
      <c r="H50" s="117">
        <v>4786</v>
      </c>
      <c r="I50" s="707"/>
      <c r="J50" s="150">
        <v>0</v>
      </c>
      <c r="K50" s="706">
        <v>0</v>
      </c>
      <c r="L50" s="706">
        <v>0</v>
      </c>
    </row>
    <row r="51" spans="1:12" ht="18.75" x14ac:dyDescent="0.25">
      <c r="A51" s="173"/>
      <c r="B51" s="114"/>
      <c r="C51" s="114"/>
      <c r="D51" s="114" t="s">
        <v>7173</v>
      </c>
      <c r="E51" s="115"/>
      <c r="F51" s="115">
        <v>21</v>
      </c>
      <c r="G51" s="116"/>
      <c r="H51" s="117">
        <v>255660</v>
      </c>
      <c r="I51" s="707">
        <v>27.190785380406169</v>
      </c>
      <c r="J51" s="150">
        <v>258338</v>
      </c>
      <c r="K51" s="706">
        <v>30.246207486796305</v>
      </c>
      <c r="L51" s="706">
        <v>-1.0366264351353682</v>
      </c>
    </row>
    <row r="52" spans="1:12" ht="18.75" x14ac:dyDescent="0.25">
      <c r="A52" s="173"/>
      <c r="B52" s="114"/>
      <c r="C52" s="114"/>
      <c r="D52" s="114" t="s">
        <v>7175</v>
      </c>
      <c r="E52" s="115"/>
      <c r="F52" s="115">
        <v>22</v>
      </c>
      <c r="G52" s="116"/>
      <c r="H52" s="117">
        <v>93518</v>
      </c>
      <c r="I52" s="707">
        <v>9.946131061585012</v>
      </c>
      <c r="J52" s="150">
        <v>72645</v>
      </c>
      <c r="K52" s="706">
        <v>8.5052750384315026</v>
      </c>
      <c r="L52" s="706">
        <v>28.732879069447304</v>
      </c>
    </row>
    <row r="53" spans="1:12" ht="18.75" x14ac:dyDescent="0.25">
      <c r="A53" s="173"/>
      <c r="B53" s="114"/>
      <c r="C53" s="114"/>
      <c r="D53" s="114" t="s">
        <v>7174</v>
      </c>
      <c r="E53" s="115"/>
      <c r="F53" s="115">
        <v>23</v>
      </c>
      <c r="G53" s="116"/>
      <c r="H53" s="117">
        <v>72097</v>
      </c>
      <c r="I53" s="707">
        <v>7.6678950699019932</v>
      </c>
      <c r="J53" s="150">
        <v>22835</v>
      </c>
      <c r="K53" s="706">
        <v>2.6735213091414876</v>
      </c>
      <c r="L53" s="706">
        <v>215.73023866871034</v>
      </c>
    </row>
    <row r="54" spans="1:12" ht="8.1" customHeight="1" x14ac:dyDescent="0.25">
      <c r="A54" s="173"/>
      <c r="B54" s="176"/>
      <c r="C54" s="176"/>
      <c r="D54" s="176"/>
      <c r="E54" s="176"/>
      <c r="F54" s="431"/>
      <c r="G54" s="176"/>
      <c r="H54" s="200"/>
      <c r="I54" s="712"/>
      <c r="J54" s="429"/>
      <c r="K54" s="712"/>
      <c r="L54" s="712"/>
    </row>
    <row r="55" spans="1:12" ht="18.75" x14ac:dyDescent="0.25">
      <c r="A55" s="173"/>
      <c r="B55" s="109" t="s">
        <v>4406</v>
      </c>
      <c r="C55" s="109"/>
      <c r="D55" s="110"/>
      <c r="E55" s="111"/>
      <c r="F55" s="389">
        <v>24</v>
      </c>
      <c r="G55" s="112"/>
      <c r="H55" s="113">
        <v>252912</v>
      </c>
      <c r="I55" s="713">
        <v>26.898521130130973</v>
      </c>
      <c r="J55" s="113">
        <v>256999</v>
      </c>
      <c r="K55" s="713">
        <v>30.089437395579292</v>
      </c>
      <c r="L55" s="713">
        <v>-1.5902785613951753</v>
      </c>
    </row>
    <row r="56" spans="1:12" s="20" customFormat="1" ht="8.1" customHeight="1" x14ac:dyDescent="0.2">
      <c r="A56" s="176"/>
      <c r="B56" s="124"/>
      <c r="C56" s="124"/>
      <c r="D56" s="124"/>
      <c r="E56" s="125"/>
      <c r="F56" s="125"/>
      <c r="G56" s="126"/>
      <c r="H56" s="126"/>
      <c r="I56" s="705"/>
      <c r="J56" s="126"/>
      <c r="K56" s="705"/>
      <c r="L56" s="705"/>
    </row>
    <row r="57" spans="1:12" ht="18.75" x14ac:dyDescent="0.25">
      <c r="A57" s="173"/>
      <c r="B57" s="114"/>
      <c r="C57" s="114"/>
      <c r="D57" s="114" t="s">
        <v>4407</v>
      </c>
      <c r="E57" s="115"/>
      <c r="F57" s="115" t="s">
        <v>7396</v>
      </c>
      <c r="G57" s="116"/>
      <c r="H57" s="117">
        <v>63114</v>
      </c>
      <c r="I57" s="706">
        <v>6.7125057830671793</v>
      </c>
      <c r="J57" s="117">
        <v>63114</v>
      </c>
      <c r="K57" s="706">
        <v>7.3893857633087743</v>
      </c>
      <c r="L57" s="706">
        <v>0</v>
      </c>
    </row>
    <row r="58" spans="1:12" ht="18.75" x14ac:dyDescent="0.25">
      <c r="A58" s="173"/>
      <c r="B58" s="114"/>
      <c r="C58" s="114"/>
      <c r="D58" s="114" t="s">
        <v>6899</v>
      </c>
      <c r="E58" s="115"/>
      <c r="F58" s="115" t="s">
        <v>7397</v>
      </c>
      <c r="G58" s="116"/>
      <c r="H58" s="117">
        <v>15684</v>
      </c>
      <c r="I58" s="706">
        <v>1.6680758738413923</v>
      </c>
      <c r="J58" s="117">
        <v>18540</v>
      </c>
      <c r="K58" s="706">
        <v>2.1706628014663094</v>
      </c>
      <c r="L58" s="706">
        <v>-15.404530744336565</v>
      </c>
    </row>
    <row r="59" spans="1:12" ht="18.75" x14ac:dyDescent="0.25">
      <c r="A59" s="173"/>
      <c r="B59" s="114"/>
      <c r="C59" s="114"/>
      <c r="D59" s="114" t="s">
        <v>6900</v>
      </c>
      <c r="E59" s="115"/>
      <c r="F59" s="115" t="s">
        <v>7398</v>
      </c>
      <c r="G59" s="116"/>
      <c r="H59" s="117">
        <v>976</v>
      </c>
      <c r="I59" s="706">
        <v>0.10380273226659009</v>
      </c>
      <c r="J59" s="117">
        <v>976</v>
      </c>
      <c r="K59" s="706">
        <v>0.11427005902001716</v>
      </c>
      <c r="L59" s="706">
        <v>0</v>
      </c>
    </row>
    <row r="60" spans="1:12" ht="18.75" x14ac:dyDescent="0.25">
      <c r="B60" s="114"/>
      <c r="C60" s="114"/>
      <c r="D60" s="114" t="s">
        <v>2807</v>
      </c>
      <c r="E60" s="115"/>
      <c r="F60" s="115" t="s">
        <v>7399</v>
      </c>
      <c r="G60" s="116"/>
      <c r="H60" s="117">
        <v>13274</v>
      </c>
      <c r="I60" s="706">
        <v>1.4117597009290133</v>
      </c>
      <c r="J60" s="117">
        <v>14505</v>
      </c>
      <c r="K60" s="706">
        <v>1.6982450882022018</v>
      </c>
      <c r="L60" s="706">
        <v>-8.4867287142364685</v>
      </c>
    </row>
    <row r="61" spans="1:12" ht="18.75" x14ac:dyDescent="0.25">
      <c r="B61" s="114"/>
      <c r="C61" s="114"/>
      <c r="D61" s="114" t="s">
        <v>2803</v>
      </c>
      <c r="E61" s="115"/>
      <c r="F61" s="115" t="s">
        <v>7400</v>
      </c>
      <c r="G61" s="116"/>
      <c r="H61" s="117">
        <v>159864</v>
      </c>
      <c r="I61" s="706">
        <v>17.002377040026801</v>
      </c>
      <c r="J61" s="117">
        <v>159864</v>
      </c>
      <c r="K61" s="706">
        <v>18.716873683581991</v>
      </c>
      <c r="L61" s="706">
        <v>0</v>
      </c>
    </row>
    <row r="62" spans="1:12" ht="18.75" x14ac:dyDescent="0.25">
      <c r="B62" s="114"/>
      <c r="C62" s="114"/>
      <c r="D62" s="114" t="s">
        <v>4409</v>
      </c>
      <c r="E62" s="115"/>
      <c r="F62" s="115" t="s">
        <v>7401</v>
      </c>
      <c r="G62" s="116"/>
      <c r="H62" s="117">
        <v>0</v>
      </c>
      <c r="I62" s="706">
        <v>0</v>
      </c>
      <c r="J62" s="117">
        <v>0</v>
      </c>
      <c r="K62" s="706">
        <v>0</v>
      </c>
      <c r="L62" s="706">
        <v>0</v>
      </c>
    </row>
    <row r="63" spans="1:12" ht="8.1" customHeight="1" x14ac:dyDescent="0.25">
      <c r="B63" s="176"/>
      <c r="C63" s="176"/>
      <c r="D63" s="176"/>
      <c r="E63" s="176"/>
      <c r="F63" s="431"/>
      <c r="G63" s="176"/>
      <c r="H63" s="200"/>
      <c r="I63" s="712"/>
      <c r="J63" s="429"/>
      <c r="K63" s="712"/>
      <c r="L63" s="712"/>
    </row>
    <row r="64" spans="1:12" ht="19.5" thickBot="1" x14ac:dyDescent="0.3">
      <c r="B64" s="133" t="s">
        <v>4410</v>
      </c>
      <c r="C64" s="134"/>
      <c r="D64" s="134"/>
      <c r="E64" s="135"/>
      <c r="F64" s="135"/>
      <c r="G64" s="136"/>
      <c r="H64" s="137">
        <v>940245</v>
      </c>
      <c r="I64" s="714">
        <v>100</v>
      </c>
      <c r="J64" s="137">
        <v>854117</v>
      </c>
      <c r="K64" s="714">
        <v>100</v>
      </c>
      <c r="L64" s="714">
        <v>10.083864388602493</v>
      </c>
    </row>
    <row r="65" spans="10:10" ht="16.5" thickTop="1" x14ac:dyDescent="0.25">
      <c r="J65" s="182" t="s">
        <v>5025</v>
      </c>
    </row>
    <row r="448" spans="3:3" x14ac:dyDescent="0.25">
      <c r="C448" s="11" t="s">
        <v>5971</v>
      </c>
    </row>
    <row r="451" spans="3:4" x14ac:dyDescent="0.25">
      <c r="D451" s="11" t="s">
        <v>5547</v>
      </c>
    </row>
    <row r="452" spans="3:4" x14ac:dyDescent="0.25">
      <c r="D452" s="11" t="s">
        <v>4519</v>
      </c>
    </row>
    <row r="453" spans="3:4" x14ac:dyDescent="0.25">
      <c r="D453" s="11" t="s">
        <v>4520</v>
      </c>
    </row>
    <row r="454" spans="3:4" x14ac:dyDescent="0.25">
      <c r="D454" s="11" t="s">
        <v>4521</v>
      </c>
    </row>
    <row r="455" spans="3:4" x14ac:dyDescent="0.25">
      <c r="D455" s="11" t="s">
        <v>5972</v>
      </c>
    </row>
    <row r="456" spans="3:4" x14ac:dyDescent="0.25">
      <c r="D456" s="11" t="s">
        <v>5973</v>
      </c>
    </row>
    <row r="463" spans="3:4" x14ac:dyDescent="0.25">
      <c r="C463" s="11" t="s">
        <v>5970</v>
      </c>
    </row>
    <row r="632" spans="1:1" x14ac:dyDescent="0.25">
      <c r="A632" s="11">
        <v>34</v>
      </c>
    </row>
    <row r="640" spans="1:1" x14ac:dyDescent="0.25">
      <c r="A640" s="11">
        <v>35</v>
      </c>
    </row>
    <row r="661" ht="85.5" customHeight="1" x14ac:dyDescent="0.25"/>
  </sheetData>
  <dataConsolidate link="1"/>
  <mergeCells count="8">
    <mergeCell ref="B11:J11"/>
    <mergeCell ref="B33:J33"/>
    <mergeCell ref="B1:J1"/>
    <mergeCell ref="B2:J2"/>
    <mergeCell ref="B3:J3"/>
    <mergeCell ref="B4:J4"/>
    <mergeCell ref="B5:J5"/>
    <mergeCell ref="B6:J6"/>
  </mergeCells>
  <pageMargins left="0.23622047244094491" right="0.23622047244094491" top="1.0236220472440944" bottom="0.62992125984251968" header="0.31496062992125984" footer="0.31496062992125984"/>
  <pageSetup paperSize="9" scale="66" orientation="portrait"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4BDF-D2CF-4CE5-A138-EEDFD3EE8B75}">
  <sheetPr>
    <tabColor rgb="FFFFFF00"/>
    <pageSetUpPr fitToPage="1"/>
  </sheetPr>
  <dimension ref="A1:J37"/>
  <sheetViews>
    <sheetView showGridLines="0" zoomScaleNormal="100" workbookViewId="0">
      <selection activeCell="M16" sqref="M16"/>
    </sheetView>
  </sheetViews>
  <sheetFormatPr defaultRowHeight="15.75" x14ac:dyDescent="0.25"/>
  <cols>
    <col min="1" max="1" width="3.5703125" style="173" customWidth="1"/>
    <col min="2" max="2" width="3.28515625" style="173" customWidth="1"/>
    <col min="3" max="3" width="2.140625" style="173" customWidth="1"/>
    <col min="4" max="4" width="3.28515625" style="173" customWidth="1"/>
    <col min="5" max="5" width="85.140625" style="173" customWidth="1"/>
    <col min="6" max="6" width="7.7109375" style="173" customWidth="1"/>
    <col min="7" max="7" width="3.42578125" style="173" customWidth="1"/>
    <col min="8" max="8" width="23.140625" style="173" customWidth="1"/>
    <col min="9" max="9" width="12.140625" style="236" hidden="1" customWidth="1"/>
    <col min="10" max="10" width="23.140625" style="173" customWidth="1"/>
  </cols>
  <sheetData>
    <row r="1" spans="1:10" ht="18.75" x14ac:dyDescent="0.25">
      <c r="B1" s="949"/>
      <c r="C1" s="949"/>
      <c r="D1" s="949"/>
      <c r="E1" s="949"/>
      <c r="F1" s="949"/>
      <c r="G1" s="949"/>
      <c r="H1" s="949"/>
      <c r="I1" s="949"/>
      <c r="J1" s="949"/>
    </row>
    <row r="2" spans="1:10" ht="18.75" x14ac:dyDescent="0.25">
      <c r="B2" s="949" t="s">
        <v>4486</v>
      </c>
      <c r="C2" s="949"/>
      <c r="D2" s="949"/>
      <c r="E2" s="949"/>
      <c r="F2" s="949"/>
      <c r="G2" s="949"/>
      <c r="H2" s="949"/>
      <c r="I2" s="949"/>
      <c r="J2" s="949"/>
    </row>
    <row r="3" spans="1:10" ht="18.75" x14ac:dyDescent="0.2">
      <c r="A3" s="176"/>
      <c r="B3" s="949" t="s">
        <v>7309</v>
      </c>
      <c r="C3" s="949"/>
      <c r="D3" s="949"/>
      <c r="E3" s="949"/>
      <c r="F3" s="949"/>
      <c r="G3" s="949"/>
      <c r="H3" s="949"/>
      <c r="I3" s="949"/>
      <c r="J3" s="949"/>
    </row>
    <row r="4" spans="1:10" ht="18.75" x14ac:dyDescent="0.2">
      <c r="A4" s="176"/>
      <c r="B4" s="949"/>
      <c r="C4" s="949"/>
      <c r="D4" s="949"/>
      <c r="E4" s="949"/>
      <c r="F4" s="949"/>
      <c r="G4" s="949"/>
      <c r="H4" s="949"/>
      <c r="I4" s="949"/>
      <c r="J4" s="949"/>
    </row>
    <row r="5" spans="1:10" ht="18.75" x14ac:dyDescent="0.2">
      <c r="A5" s="176"/>
      <c r="B5" s="949" t="s">
        <v>4411</v>
      </c>
      <c r="C5" s="949"/>
      <c r="D5" s="949"/>
      <c r="E5" s="949"/>
      <c r="F5" s="949"/>
      <c r="G5" s="949"/>
      <c r="H5" s="949"/>
      <c r="I5" s="949"/>
      <c r="J5" s="949"/>
    </row>
    <row r="6" spans="1:10" x14ac:dyDescent="0.25">
      <c r="A6" s="176"/>
    </row>
    <row r="7" spans="1:10" ht="18.75" x14ac:dyDescent="0.2">
      <c r="A7" s="176"/>
      <c r="B7" s="949"/>
      <c r="C7" s="949"/>
      <c r="D7" s="949"/>
      <c r="E7" s="949"/>
      <c r="F7" s="949"/>
      <c r="G7" s="949"/>
      <c r="H7" s="949"/>
      <c r="I7" s="949"/>
      <c r="J7" s="949"/>
    </row>
    <row r="8" spans="1:10" ht="18.75" x14ac:dyDescent="0.2">
      <c r="A8" s="176"/>
      <c r="B8" s="949"/>
      <c r="C8" s="949"/>
      <c r="D8" s="949"/>
      <c r="E8" s="949"/>
      <c r="F8" s="949"/>
      <c r="G8" s="949"/>
      <c r="H8" s="949"/>
      <c r="I8" s="949"/>
      <c r="J8" s="949"/>
    </row>
    <row r="9" spans="1:10" ht="18.75" x14ac:dyDescent="0.2">
      <c r="A9" s="177"/>
      <c r="B9" s="949"/>
      <c r="C9" s="949"/>
      <c r="D9" s="949"/>
      <c r="E9" s="949"/>
      <c r="F9" s="949"/>
      <c r="G9" s="949"/>
      <c r="H9" s="949"/>
      <c r="I9" s="949"/>
      <c r="J9" s="949"/>
    </row>
    <row r="10" spans="1:10" x14ac:dyDescent="0.2">
      <c r="A10" s="177"/>
      <c r="B10" s="177"/>
      <c r="C10" s="177"/>
      <c r="D10" s="177"/>
      <c r="E10" s="177"/>
      <c r="F10" s="177"/>
      <c r="G10" s="177"/>
      <c r="H10" s="177"/>
      <c r="I10" s="181"/>
      <c r="J10" s="182" t="s">
        <v>4380</v>
      </c>
    </row>
    <row r="11" spans="1:10" ht="18.75" x14ac:dyDescent="0.2">
      <c r="A11" s="176"/>
      <c r="B11" s="169"/>
      <c r="C11" s="184"/>
      <c r="D11" s="184"/>
      <c r="E11" s="185"/>
      <c r="F11" s="201"/>
      <c r="G11" s="186"/>
      <c r="H11" s="188">
        <v>46022</v>
      </c>
      <c r="I11" s="152"/>
      <c r="J11" s="188">
        <v>45657</v>
      </c>
    </row>
    <row r="12" spans="1:10" ht="18.75" x14ac:dyDescent="0.2">
      <c r="A12" s="176"/>
      <c r="B12" s="169"/>
      <c r="C12" s="184"/>
      <c r="D12" s="184"/>
      <c r="E12" s="184"/>
      <c r="F12" s="201"/>
      <c r="G12" s="189"/>
      <c r="H12" s="697"/>
      <c r="I12" s="154"/>
      <c r="J12" s="697"/>
    </row>
    <row r="13" spans="1:10" ht="18.75" x14ac:dyDescent="0.2">
      <c r="A13" s="176"/>
      <c r="B13" s="190"/>
      <c r="C13" s="190"/>
      <c r="D13" s="190"/>
      <c r="E13" s="190"/>
      <c r="F13" s="190"/>
      <c r="G13" s="190"/>
      <c r="H13" s="140"/>
      <c r="I13" s="156"/>
      <c r="J13" s="140"/>
    </row>
    <row r="14" spans="1:10" ht="18.75" x14ac:dyDescent="0.2">
      <c r="A14" s="176"/>
      <c r="B14" s="161" t="s">
        <v>4415</v>
      </c>
      <c r="C14" s="161"/>
      <c r="D14" s="161"/>
      <c r="E14" s="161"/>
      <c r="F14" s="349">
        <v>25</v>
      </c>
      <c r="G14" s="169"/>
      <c r="H14" s="441">
        <v>478685</v>
      </c>
      <c r="I14" s="441" t="e">
        <v>#REF!</v>
      </c>
      <c r="J14" s="441">
        <v>452518</v>
      </c>
    </row>
    <row r="15" spans="1:10" ht="18.75" x14ac:dyDescent="0.2">
      <c r="A15" s="176"/>
      <c r="B15" s="114"/>
      <c r="C15" s="114"/>
      <c r="D15" s="114" t="s">
        <v>2918</v>
      </c>
      <c r="E15" s="114"/>
      <c r="F15" s="114">
        <v>26</v>
      </c>
      <c r="G15" s="114"/>
      <c r="H15" s="117">
        <v>-39796</v>
      </c>
      <c r="I15" s="117" t="e">
        <v>#REF!</v>
      </c>
      <c r="J15" s="117">
        <v>-33832</v>
      </c>
    </row>
    <row r="16" spans="1:10" ht="16.5" x14ac:dyDescent="0.2">
      <c r="A16" s="176"/>
      <c r="B16" s="176"/>
      <c r="C16" s="176"/>
      <c r="D16" s="176"/>
      <c r="E16" s="176"/>
      <c r="F16" s="176"/>
      <c r="G16" s="176"/>
      <c r="H16" s="591"/>
      <c r="I16" s="160"/>
      <c r="J16" s="591"/>
    </row>
    <row r="17" spans="1:10" ht="18.75" x14ac:dyDescent="0.2">
      <c r="A17" s="176"/>
      <c r="B17" s="161" t="s">
        <v>4416</v>
      </c>
      <c r="C17" s="161"/>
      <c r="D17" s="161"/>
      <c r="E17" s="161"/>
      <c r="F17" s="169"/>
      <c r="G17" s="169"/>
      <c r="H17" s="442">
        <v>438889</v>
      </c>
      <c r="I17" s="432"/>
      <c r="J17" s="442">
        <v>418685</v>
      </c>
    </row>
    <row r="18" spans="1:10" ht="18.75" x14ac:dyDescent="0.2">
      <c r="A18" s="207"/>
      <c r="B18" s="114"/>
      <c r="C18" s="114"/>
      <c r="D18" s="114"/>
      <c r="E18" s="114"/>
      <c r="F18" s="114"/>
      <c r="G18" s="114"/>
      <c r="H18" s="140"/>
      <c r="I18" s="156"/>
      <c r="J18" s="117"/>
    </row>
    <row r="19" spans="1:10" ht="18.75" x14ac:dyDescent="0.2">
      <c r="A19" s="176"/>
      <c r="B19" s="350" t="s">
        <v>4417</v>
      </c>
      <c r="C19" s="350"/>
      <c r="D19" s="350"/>
      <c r="E19" s="350"/>
      <c r="F19" s="350"/>
      <c r="G19" s="350"/>
      <c r="H19" s="165">
        <v>-442375</v>
      </c>
      <c r="I19" s="165" t="e">
        <v>#REF!</v>
      </c>
      <c r="J19" s="165">
        <v>-417683</v>
      </c>
    </row>
    <row r="20" spans="1:10" ht="18.75" x14ac:dyDescent="0.2">
      <c r="A20" s="176"/>
      <c r="B20" s="114"/>
      <c r="C20" s="114" t="s">
        <v>7128</v>
      </c>
      <c r="D20" s="114"/>
      <c r="E20" s="114"/>
      <c r="F20" s="114">
        <v>27</v>
      </c>
      <c r="G20" s="114"/>
      <c r="H20" s="641">
        <v>-435425</v>
      </c>
      <c r="I20" s="642"/>
      <c r="J20" s="117">
        <v>-412851</v>
      </c>
    </row>
    <row r="21" spans="1:10" ht="18.75" x14ac:dyDescent="0.2">
      <c r="A21" s="176"/>
      <c r="B21" s="114"/>
      <c r="C21" s="114" t="s">
        <v>7129</v>
      </c>
      <c r="D21" s="114"/>
      <c r="E21" s="114"/>
      <c r="F21" s="114"/>
      <c r="G21" s="114"/>
      <c r="H21" s="641">
        <v>-6950</v>
      </c>
      <c r="I21" s="645"/>
      <c r="J21" s="641">
        <v>-4832</v>
      </c>
    </row>
    <row r="22" spans="1:10" ht="18.75" hidden="1" x14ac:dyDescent="0.2">
      <c r="A22" s="176"/>
      <c r="B22" s="114"/>
      <c r="C22" s="114" t="s">
        <v>7156</v>
      </c>
      <c r="D22" s="114"/>
      <c r="E22" s="114"/>
      <c r="F22" s="114"/>
      <c r="G22" s="114"/>
      <c r="H22" s="696">
        <v>0</v>
      </c>
      <c r="I22" s="696" t="e">
        <v>#REF!</v>
      </c>
      <c r="J22" s="696">
        <v>0</v>
      </c>
    </row>
    <row r="23" spans="1:10" ht="18.75" x14ac:dyDescent="0.2">
      <c r="A23" s="176"/>
      <c r="B23" s="114"/>
      <c r="C23" s="114"/>
      <c r="D23" s="114"/>
      <c r="E23" s="114"/>
      <c r="F23" s="114"/>
      <c r="G23" s="114"/>
      <c r="H23" s="220"/>
      <c r="I23" s="172"/>
      <c r="J23" s="220"/>
    </row>
    <row r="24" spans="1:10" ht="18.75" x14ac:dyDescent="0.2">
      <c r="A24" s="176"/>
      <c r="B24" s="161" t="s">
        <v>7159</v>
      </c>
      <c r="C24" s="161"/>
      <c r="D24" s="161"/>
      <c r="E24" s="161"/>
      <c r="F24" s="169"/>
      <c r="G24" s="169"/>
      <c r="H24" s="444">
        <v>-3486</v>
      </c>
      <c r="I24" s="444" t="e">
        <v>#REF!</v>
      </c>
      <c r="J24" s="444">
        <v>1002</v>
      </c>
    </row>
    <row r="25" spans="1:10" ht="18.75" x14ac:dyDescent="0.2">
      <c r="A25" s="176"/>
      <c r="B25" s="206"/>
      <c r="C25" s="206"/>
      <c r="D25" s="206"/>
      <c r="E25" s="206"/>
      <c r="F25" s="114"/>
      <c r="G25" s="114"/>
      <c r="H25" s="117"/>
      <c r="I25" s="171"/>
      <c r="J25" s="117"/>
    </row>
    <row r="26" spans="1:10" ht="18.75" x14ac:dyDescent="0.2">
      <c r="A26" s="176"/>
      <c r="B26" s="206"/>
      <c r="C26" s="206" t="s">
        <v>7130</v>
      </c>
      <c r="D26" s="206"/>
      <c r="E26" s="206"/>
      <c r="F26" s="114">
        <v>28</v>
      </c>
      <c r="G26" s="114"/>
      <c r="H26" s="117">
        <v>-601</v>
      </c>
      <c r="I26" s="117" t="e">
        <v>#REF!</v>
      </c>
      <c r="J26" s="117">
        <v>-556</v>
      </c>
    </row>
    <row r="27" spans="1:10" ht="18.75" x14ac:dyDescent="0.2">
      <c r="A27" s="176"/>
      <c r="B27" s="206"/>
      <c r="C27" s="206"/>
      <c r="D27" s="206"/>
      <c r="E27" s="206" t="s">
        <v>6981</v>
      </c>
      <c r="F27" s="114"/>
      <c r="G27" s="114"/>
      <c r="H27" s="117">
        <v>-1940</v>
      </c>
      <c r="I27" s="117" t="e">
        <v>#REF!</v>
      </c>
      <c r="J27" s="117">
        <v>-2547</v>
      </c>
    </row>
    <row r="28" spans="1:10" ht="18.75" x14ac:dyDescent="0.2">
      <c r="A28" s="176"/>
      <c r="B28" s="206"/>
      <c r="C28" s="206"/>
      <c r="D28" s="206"/>
      <c r="E28" s="206" t="s">
        <v>7165</v>
      </c>
      <c r="F28" s="114"/>
      <c r="G28" s="114"/>
      <c r="H28" s="117">
        <v>1339</v>
      </c>
      <c r="I28" s="117" t="e">
        <v>#REF!</v>
      </c>
      <c r="J28" s="117">
        <v>1991</v>
      </c>
    </row>
    <row r="29" spans="1:10" ht="18.75" x14ac:dyDescent="0.2">
      <c r="A29" s="176"/>
      <c r="B29" s="206"/>
      <c r="C29" s="206"/>
      <c r="D29" s="206"/>
      <c r="E29" s="206"/>
      <c r="F29" s="114"/>
      <c r="G29" s="114"/>
      <c r="H29" s="105"/>
      <c r="I29" s="647"/>
      <c r="J29" s="105"/>
    </row>
    <row r="30" spans="1:10" ht="18.75" x14ac:dyDescent="0.2">
      <c r="A30" s="176"/>
      <c r="B30" s="161" t="s">
        <v>7160</v>
      </c>
      <c r="C30" s="161"/>
      <c r="D30" s="161"/>
      <c r="E30" s="161"/>
      <c r="F30" s="169"/>
      <c r="G30" s="169"/>
      <c r="H30" s="444">
        <v>-4087</v>
      </c>
      <c r="I30" s="444" t="e">
        <v>#REF!</v>
      </c>
      <c r="J30" s="444">
        <v>446</v>
      </c>
    </row>
    <row r="31" spans="1:10" ht="18.75" x14ac:dyDescent="0.2">
      <c r="A31" s="176"/>
      <c r="B31" s="114"/>
      <c r="C31" s="114"/>
      <c r="D31" s="114"/>
      <c r="E31" s="114"/>
      <c r="F31" s="114"/>
      <c r="G31" s="114"/>
      <c r="H31" s="221"/>
      <c r="I31" s="172"/>
      <c r="J31" s="221">
        <v>-87248611.280000001</v>
      </c>
    </row>
    <row r="32" spans="1:10" ht="18.75" x14ac:dyDescent="0.2">
      <c r="A32" s="176"/>
      <c r="B32" s="114"/>
      <c r="C32" s="222" t="s">
        <v>7133</v>
      </c>
      <c r="D32" s="114"/>
      <c r="E32" s="114"/>
      <c r="F32" s="114"/>
      <c r="G32" s="114"/>
      <c r="H32" s="117">
        <v>0</v>
      </c>
      <c r="I32" s="681"/>
      <c r="J32" s="117">
        <v>-299</v>
      </c>
    </row>
    <row r="33" spans="1:10" ht="18.75" x14ac:dyDescent="0.2">
      <c r="A33" s="176"/>
      <c r="B33" s="114"/>
      <c r="C33" s="222" t="s">
        <v>7134</v>
      </c>
      <c r="D33" s="114"/>
      <c r="E33" s="114"/>
      <c r="F33" s="114"/>
      <c r="G33" s="114"/>
      <c r="H33" s="117">
        <v>0</v>
      </c>
      <c r="I33" s="681"/>
      <c r="J33" s="117">
        <v>-115</v>
      </c>
    </row>
    <row r="34" spans="1:10" ht="18.75" x14ac:dyDescent="0.2">
      <c r="A34" s="176"/>
      <c r="B34" s="114"/>
      <c r="C34" s="114"/>
      <c r="D34" s="114"/>
      <c r="E34" s="114"/>
      <c r="F34" s="114"/>
      <c r="G34" s="114"/>
      <c r="H34" s="221"/>
      <c r="I34" s="172"/>
      <c r="J34" s="221">
        <v>-32020.2</v>
      </c>
    </row>
    <row r="35" spans="1:10" ht="18.75" x14ac:dyDescent="0.2">
      <c r="A35" s="176"/>
      <c r="B35" s="161" t="s">
        <v>4419</v>
      </c>
      <c r="C35" s="161"/>
      <c r="D35" s="161"/>
      <c r="E35" s="161"/>
      <c r="F35" s="169"/>
      <c r="G35" s="169"/>
      <c r="H35" s="444">
        <v>-4087</v>
      </c>
      <c r="I35" s="444" t="e">
        <v>#REF!</v>
      </c>
      <c r="J35" s="444">
        <v>32</v>
      </c>
    </row>
    <row r="36" spans="1:10" ht="16.5" x14ac:dyDescent="0.25">
      <c r="H36" s="227"/>
      <c r="I36" s="228"/>
      <c r="J36" s="227"/>
    </row>
    <row r="37" spans="1:10" ht="16.5" x14ac:dyDescent="0.25">
      <c r="H37" s="227"/>
      <c r="I37" s="228"/>
      <c r="J37" s="231" t="s">
        <v>4397</v>
      </c>
    </row>
  </sheetData>
  <mergeCells count="8">
    <mergeCell ref="B1:J1"/>
    <mergeCell ref="B7:J7"/>
    <mergeCell ref="B8:J8"/>
    <mergeCell ref="B9:J9"/>
    <mergeCell ref="B5:J5"/>
    <mergeCell ref="B4:J4"/>
    <mergeCell ref="B2:J2"/>
    <mergeCell ref="B3:J3"/>
  </mergeCells>
  <pageMargins left="0.7" right="0.7" top="0.75" bottom="0.75" header="0.3" footer="0.3"/>
  <pageSetup paperSize="9" scale="57" orientation="portrait" r:id="rId1"/>
  <headerFooter>
    <oddHeader>&amp;L&amp;G</oddHeader>
    <oddFooter xml:space="preserve">&amp;LAv. Gal. Euclydes de Oliveira Figueiredo, 200 - Brisamar - Itaguaí – RJ, Cep: 23825-410
+55 21 3781-4303  |  www.nuclep.gov.br  |  presidencia@nuclep.gov.br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A4D5-09D1-49E6-97C7-2EF319E99579}">
  <sheetPr>
    <tabColor rgb="FFFFFF00"/>
    <pageSetUpPr fitToPage="1"/>
  </sheetPr>
  <dimension ref="A2:H100"/>
  <sheetViews>
    <sheetView showGridLines="0" topLeftCell="A44" zoomScale="90" zoomScaleNormal="90" workbookViewId="0">
      <selection activeCell="M16" sqref="M16"/>
    </sheetView>
  </sheetViews>
  <sheetFormatPr defaultColWidth="19.85546875" defaultRowHeight="15.75" x14ac:dyDescent="0.25"/>
  <cols>
    <col min="1" max="1" width="2" style="240" customWidth="1"/>
    <col min="2" max="2" width="1.42578125" style="240" customWidth="1"/>
    <col min="3" max="3" width="4.7109375" style="240" customWidth="1"/>
    <col min="4" max="4" width="85.28515625" style="242" customWidth="1"/>
    <col min="5" max="5" width="1.5703125" style="243" customWidth="1"/>
    <col min="6" max="6" width="20.140625" style="244" customWidth="1"/>
    <col min="7" max="7" width="0.85546875" style="244" customWidth="1"/>
    <col min="8" max="8" width="20.140625" style="245" customWidth="1"/>
    <col min="9" max="9" width="2.28515625" style="242" customWidth="1"/>
    <col min="10" max="16384" width="19.85546875" style="242"/>
  </cols>
  <sheetData>
    <row r="2" spans="1:8" ht="18.75" customHeight="1" x14ac:dyDescent="0.25">
      <c r="D2" s="949"/>
      <c r="E2" s="949"/>
      <c r="F2" s="949"/>
      <c r="G2" s="949"/>
      <c r="H2" s="949"/>
    </row>
    <row r="3" spans="1:8" ht="18.75" customHeight="1" x14ac:dyDescent="0.25">
      <c r="D3" s="949" t="s">
        <v>4486</v>
      </c>
      <c r="E3" s="949"/>
      <c r="F3" s="949"/>
      <c r="G3" s="949"/>
      <c r="H3" s="949"/>
    </row>
    <row r="4" spans="1:8" ht="18.75" customHeight="1" x14ac:dyDescent="0.25">
      <c r="D4" s="949" t="s">
        <v>7309</v>
      </c>
      <c r="E4" s="949"/>
      <c r="F4" s="949"/>
      <c r="G4" s="949"/>
      <c r="H4" s="949"/>
    </row>
    <row r="5" spans="1:8" ht="18.75" customHeight="1" x14ac:dyDescent="0.25">
      <c r="D5" s="949"/>
      <c r="E5" s="949"/>
      <c r="F5" s="949"/>
      <c r="G5" s="949"/>
      <c r="H5" s="949"/>
    </row>
    <row r="6" spans="1:8" s="180" customFormat="1" ht="18.75" customHeight="1" x14ac:dyDescent="0.2">
      <c r="A6" s="246"/>
      <c r="B6" s="246"/>
      <c r="C6" s="246"/>
      <c r="D6" s="949" t="s">
        <v>4420</v>
      </c>
      <c r="E6" s="949"/>
      <c r="F6" s="949"/>
      <c r="G6" s="949"/>
      <c r="H6" s="949"/>
    </row>
    <row r="7" spans="1:8" s="180" customFormat="1" ht="18.75" customHeight="1" x14ac:dyDescent="0.2">
      <c r="A7" s="246"/>
      <c r="B7" s="246"/>
      <c r="C7" s="246"/>
      <c r="D7" s="949"/>
      <c r="E7" s="949"/>
      <c r="F7" s="949"/>
      <c r="G7" s="949"/>
      <c r="H7" s="949"/>
    </row>
    <row r="8" spans="1:8" s="180" customFormat="1" ht="18.75" customHeight="1" x14ac:dyDescent="0.2">
      <c r="A8" s="246"/>
      <c r="B8" s="246"/>
      <c r="C8" s="246"/>
      <c r="D8" s="949"/>
      <c r="E8" s="949"/>
      <c r="F8" s="949"/>
      <c r="G8" s="949"/>
      <c r="H8" s="949"/>
    </row>
    <row r="9" spans="1:8" s="180" customFormat="1" ht="18.75" customHeight="1" x14ac:dyDescent="0.2">
      <c r="A9" s="177"/>
      <c r="B9" s="177"/>
      <c r="C9" s="177"/>
      <c r="D9" s="177"/>
      <c r="E9" s="177"/>
      <c r="F9" s="177"/>
      <c r="G9" s="177"/>
      <c r="H9" s="177"/>
    </row>
    <row r="10" spans="1:8" s="180" customFormat="1" ht="18.75" customHeight="1" x14ac:dyDescent="0.2">
      <c r="A10" s="177"/>
      <c r="B10" s="177"/>
      <c r="C10" s="177"/>
      <c r="D10" s="177"/>
      <c r="E10" s="177"/>
      <c r="F10" s="177"/>
      <c r="G10" s="177"/>
      <c r="H10" s="182" t="s">
        <v>4380</v>
      </c>
    </row>
    <row r="11" spans="1:8" s="180" customFormat="1" ht="21" customHeight="1" x14ac:dyDescent="0.2">
      <c r="A11" s="177"/>
      <c r="B11" s="177"/>
      <c r="C11" s="177"/>
      <c r="D11" s="278"/>
      <c r="E11" s="279"/>
      <c r="F11" s="480">
        <v>46022</v>
      </c>
      <c r="G11" s="480"/>
      <c r="H11" s="480">
        <v>45657</v>
      </c>
    </row>
    <row r="12" spans="1:8" s="180" customFormat="1" ht="9" customHeight="1" x14ac:dyDescent="0.2">
      <c r="A12" s="247"/>
      <c r="B12" s="247"/>
      <c r="C12" s="247"/>
      <c r="D12" s="280"/>
      <c r="E12" s="280"/>
      <c r="F12" s="280"/>
      <c r="G12" s="480"/>
      <c r="H12" s="281"/>
    </row>
    <row r="13" spans="1:8" s="180" customFormat="1" ht="21" customHeight="1" x14ac:dyDescent="0.2">
      <c r="A13" s="246"/>
      <c r="B13" s="246"/>
      <c r="C13" s="246"/>
      <c r="D13" s="282" t="s">
        <v>4421</v>
      </c>
      <c r="E13" s="283"/>
      <c r="F13" s="284">
        <v>59306</v>
      </c>
      <c r="G13" s="480"/>
      <c r="H13" s="285">
        <v>48561</v>
      </c>
    </row>
    <row r="14" spans="1:8" s="180" customFormat="1" ht="5.25" customHeight="1" x14ac:dyDescent="0.2">
      <c r="A14" s="246"/>
      <c r="B14" s="246"/>
      <c r="C14" s="246"/>
      <c r="D14" s="286"/>
      <c r="E14" s="287"/>
      <c r="F14" s="288"/>
      <c r="G14" s="480"/>
      <c r="H14" s="289"/>
    </row>
    <row r="15" spans="1:8" s="180" customFormat="1" ht="18.75" x14ac:dyDescent="0.2">
      <c r="A15" s="246"/>
      <c r="B15" s="246"/>
      <c r="C15" s="246"/>
      <c r="D15" s="248" t="s">
        <v>4422</v>
      </c>
      <c r="E15" s="248"/>
      <c r="F15" s="290">
        <v>-4087</v>
      </c>
      <c r="G15" s="480"/>
      <c r="H15" s="249">
        <v>32</v>
      </c>
    </row>
    <row r="16" spans="1:8" s="180" customFormat="1" ht="6" customHeight="1" x14ac:dyDescent="0.2">
      <c r="A16" s="246"/>
      <c r="B16" s="246"/>
      <c r="C16" s="246"/>
      <c r="D16" s="291"/>
      <c r="E16" s="248"/>
      <c r="F16" s="249"/>
      <c r="G16" s="480"/>
      <c r="H16" s="249"/>
    </row>
    <row r="17" spans="1:8" s="180" customFormat="1" ht="18.75" x14ac:dyDescent="0.2">
      <c r="A17" s="246"/>
      <c r="B17" s="246"/>
      <c r="C17" s="246"/>
      <c r="D17" s="248" t="s">
        <v>4423</v>
      </c>
      <c r="E17" s="248"/>
      <c r="F17" s="292"/>
      <c r="G17" s="480"/>
      <c r="H17" s="293"/>
    </row>
    <row r="18" spans="1:8" s="180" customFormat="1" ht="18.75" x14ac:dyDescent="0.2">
      <c r="A18" s="246"/>
      <c r="B18" s="246"/>
      <c r="C18" s="246"/>
      <c r="D18" s="248" t="s">
        <v>7212</v>
      </c>
      <c r="E18" s="248"/>
      <c r="F18" s="292"/>
      <c r="G18" s="480"/>
      <c r="H18" s="293"/>
    </row>
    <row r="19" spans="1:8" s="180" customFormat="1" ht="18.75" hidden="1" x14ac:dyDescent="0.2">
      <c r="A19" s="246"/>
      <c r="B19" s="246"/>
      <c r="C19" s="246"/>
      <c r="D19" s="248" t="s">
        <v>4424</v>
      </c>
      <c r="E19" s="248"/>
      <c r="F19" s="290">
        <v>0</v>
      </c>
      <c r="G19" s="480"/>
      <c r="H19" s="250">
        <v>0</v>
      </c>
    </row>
    <row r="20" spans="1:8" s="180" customFormat="1" ht="18.75" hidden="1" x14ac:dyDescent="0.2">
      <c r="A20" s="246"/>
      <c r="B20" s="246"/>
      <c r="C20" s="246"/>
      <c r="D20" s="248" t="s">
        <v>4425</v>
      </c>
      <c r="E20" s="248"/>
      <c r="F20" s="249"/>
      <c r="G20" s="480"/>
      <c r="H20" s="250"/>
    </row>
    <row r="21" spans="1:8" s="212" customFormat="1" ht="18.75" hidden="1" x14ac:dyDescent="0.2">
      <c r="D21" s="251" t="s">
        <v>4426</v>
      </c>
      <c r="E21" s="251"/>
      <c r="F21" s="290">
        <v>0</v>
      </c>
      <c r="G21" s="480"/>
      <c r="H21" s="253">
        <v>0</v>
      </c>
    </row>
    <row r="22" spans="1:8" s="212" customFormat="1" ht="18.75" x14ac:dyDescent="0.2">
      <c r="D22" s="251" t="s">
        <v>7236</v>
      </c>
      <c r="E22" s="251"/>
      <c r="F22" s="290">
        <v>0</v>
      </c>
      <c r="G22" s="480"/>
      <c r="H22" s="253">
        <v>-11422</v>
      </c>
    </row>
    <row r="23" spans="1:8" s="212" customFormat="1" ht="18.75" x14ac:dyDescent="0.2">
      <c r="D23" s="251" t="s">
        <v>4427</v>
      </c>
      <c r="E23" s="251"/>
      <c r="F23" s="290">
        <v>5918</v>
      </c>
      <c r="G23" s="480"/>
      <c r="H23" s="253">
        <v>7167</v>
      </c>
    </row>
    <row r="24" spans="1:8" s="180" customFormat="1" ht="18.75" x14ac:dyDescent="0.2">
      <c r="A24" s="246"/>
      <c r="B24" s="246"/>
      <c r="C24" s="246"/>
      <c r="D24" s="251" t="s">
        <v>4428</v>
      </c>
      <c r="E24" s="251"/>
      <c r="F24" s="290">
        <v>43</v>
      </c>
      <c r="G24" s="480"/>
      <c r="H24" s="253">
        <v>43</v>
      </c>
    </row>
    <row r="25" spans="1:8" s="212" customFormat="1" ht="18.75" x14ac:dyDescent="0.2">
      <c r="D25" s="251" t="s">
        <v>4429</v>
      </c>
      <c r="E25" s="251"/>
      <c r="F25" s="290">
        <v>0</v>
      </c>
      <c r="G25" s="480"/>
      <c r="H25" s="253">
        <v>308</v>
      </c>
    </row>
    <row r="26" spans="1:8" s="212" customFormat="1" ht="18.75" hidden="1" x14ac:dyDescent="0.2">
      <c r="D26" s="254" t="s">
        <v>7147</v>
      </c>
      <c r="E26" s="254"/>
      <c r="F26" s="290">
        <v>0</v>
      </c>
      <c r="G26" s="480"/>
      <c r="H26" s="255">
        <v>0</v>
      </c>
    </row>
    <row r="27" spans="1:8" s="212" customFormat="1" ht="18.75" x14ac:dyDescent="0.2">
      <c r="D27" s="251" t="s">
        <v>4430</v>
      </c>
      <c r="E27" s="251"/>
      <c r="F27" s="290">
        <v>-1433</v>
      </c>
      <c r="G27" s="480"/>
      <c r="H27" s="253">
        <v>1522</v>
      </c>
    </row>
    <row r="28" spans="1:8" s="212" customFormat="1" ht="18.75" hidden="1" x14ac:dyDescent="0.2">
      <c r="D28" s="251" t="s">
        <v>4431</v>
      </c>
      <c r="E28" s="251"/>
      <c r="F28" s="290">
        <v>0</v>
      </c>
      <c r="G28" s="480"/>
      <c r="H28" s="253">
        <v>0</v>
      </c>
    </row>
    <row r="29" spans="1:8" s="212" customFormat="1" ht="18.75" x14ac:dyDescent="0.2">
      <c r="D29" s="251" t="s">
        <v>4432</v>
      </c>
      <c r="E29" s="251"/>
      <c r="F29" s="290">
        <v>-1490</v>
      </c>
      <c r="G29" s="480"/>
      <c r="H29" s="253">
        <v>-5084</v>
      </c>
    </row>
    <row r="30" spans="1:8" s="212" customFormat="1" ht="18.75" x14ac:dyDescent="0.2">
      <c r="D30" s="256"/>
      <c r="E30" s="251"/>
      <c r="F30" s="257">
        <v>-1049</v>
      </c>
      <c r="G30" s="480"/>
      <c r="H30" s="258">
        <v>-7434</v>
      </c>
    </row>
    <row r="31" spans="1:8" s="212" customFormat="1" ht="4.5" customHeight="1" x14ac:dyDescent="0.2">
      <c r="D31" s="259"/>
      <c r="F31" s="260"/>
      <c r="G31" s="480"/>
      <c r="H31" s="261"/>
    </row>
    <row r="32" spans="1:8" s="212" customFormat="1" ht="18.75" x14ac:dyDescent="0.2">
      <c r="D32" s="256" t="s">
        <v>4433</v>
      </c>
      <c r="E32" s="262"/>
      <c r="F32" s="263"/>
      <c r="G32" s="480"/>
      <c r="H32" s="264"/>
    </row>
    <row r="33" spans="4:8" s="212" customFormat="1" ht="18.75" x14ac:dyDescent="0.2">
      <c r="D33" s="251" t="s">
        <v>4434</v>
      </c>
      <c r="E33" s="251"/>
      <c r="F33" s="252">
        <v>-66996</v>
      </c>
      <c r="G33" s="480"/>
      <c r="H33" s="253">
        <v>-17342</v>
      </c>
    </row>
    <row r="34" spans="4:8" s="212" customFormat="1" ht="18.75" x14ac:dyDescent="0.2">
      <c r="D34" s="251" t="s">
        <v>4435</v>
      </c>
      <c r="E34" s="251"/>
      <c r="F34" s="252">
        <v>2840</v>
      </c>
      <c r="G34" s="480"/>
      <c r="H34" s="253">
        <v>4251</v>
      </c>
    </row>
    <row r="35" spans="4:8" s="212" customFormat="1" ht="18.75" x14ac:dyDescent="0.2">
      <c r="D35" s="251" t="s">
        <v>7336</v>
      </c>
      <c r="E35" s="251"/>
      <c r="F35" s="252">
        <v>-21119</v>
      </c>
      <c r="G35" s="480"/>
      <c r="H35" s="253">
        <v>0</v>
      </c>
    </row>
    <row r="36" spans="4:8" s="212" customFormat="1" ht="18.75" x14ac:dyDescent="0.2">
      <c r="D36" s="251" t="s">
        <v>4436</v>
      </c>
      <c r="E36" s="251"/>
      <c r="F36" s="252">
        <v>23047</v>
      </c>
      <c r="G36" s="480"/>
      <c r="H36" s="253">
        <v>-25127</v>
      </c>
    </row>
    <row r="37" spans="4:8" s="212" customFormat="1" ht="18.75" x14ac:dyDescent="0.2">
      <c r="D37" s="251" t="s">
        <v>7148</v>
      </c>
      <c r="E37" s="251"/>
      <c r="F37" s="252">
        <v>12</v>
      </c>
      <c r="G37" s="480"/>
      <c r="H37" s="253">
        <v>-65</v>
      </c>
    </row>
    <row r="38" spans="4:8" s="212" customFormat="1" ht="18.75" x14ac:dyDescent="0.2">
      <c r="D38" s="265" t="s">
        <v>4437</v>
      </c>
      <c r="E38" s="251"/>
      <c r="F38" s="252">
        <v>196</v>
      </c>
      <c r="G38" s="480"/>
      <c r="H38" s="253">
        <v>507</v>
      </c>
    </row>
    <row r="39" spans="4:8" s="212" customFormat="1" ht="18.75" x14ac:dyDescent="0.2">
      <c r="D39" s="265" t="s">
        <v>4438</v>
      </c>
      <c r="E39" s="251"/>
      <c r="F39" s="252">
        <v>6243</v>
      </c>
      <c r="G39" s="480"/>
      <c r="H39" s="253">
        <v>-1339</v>
      </c>
    </row>
    <row r="40" spans="4:8" s="212" customFormat="1" ht="18" customHeight="1" x14ac:dyDescent="0.2">
      <c r="D40" s="251"/>
      <c r="E40" s="251"/>
      <c r="F40" s="257">
        <v>-55777</v>
      </c>
      <c r="G40" s="480"/>
      <c r="H40" s="258">
        <v>-39115</v>
      </c>
    </row>
    <row r="41" spans="4:8" s="212" customFormat="1" ht="5.25" customHeight="1" x14ac:dyDescent="0.2">
      <c r="D41" s="251"/>
      <c r="E41" s="251"/>
      <c r="F41" s="266"/>
      <c r="G41" s="480"/>
      <c r="H41" s="267"/>
    </row>
    <row r="42" spans="4:8" s="212" customFormat="1" ht="18.75" x14ac:dyDescent="0.2">
      <c r="D42" s="256" t="s">
        <v>4439</v>
      </c>
      <c r="E42" s="262"/>
      <c r="F42" s="263"/>
      <c r="G42" s="480"/>
      <c r="H42" s="264"/>
    </row>
    <row r="43" spans="4:8" s="212" customFormat="1" ht="18.75" x14ac:dyDescent="0.2">
      <c r="D43" s="251" t="s">
        <v>4440</v>
      </c>
      <c r="E43" s="268"/>
      <c r="F43" s="252">
        <v>12321</v>
      </c>
      <c r="G43" s="480"/>
      <c r="H43" s="253">
        <v>21220</v>
      </c>
    </row>
    <row r="44" spans="4:8" s="212" customFormat="1" ht="18.75" x14ac:dyDescent="0.2">
      <c r="D44" s="251" t="s">
        <v>4441</v>
      </c>
      <c r="E44" s="268"/>
      <c r="F44" s="252">
        <v>4021</v>
      </c>
      <c r="G44" s="480"/>
      <c r="H44" s="253">
        <v>9884</v>
      </c>
    </row>
    <row r="45" spans="4:8" s="212" customFormat="1" ht="18.75" x14ac:dyDescent="0.2">
      <c r="D45" s="251" t="s">
        <v>4442</v>
      </c>
      <c r="E45" s="268"/>
      <c r="F45" s="252">
        <v>364</v>
      </c>
      <c r="G45" s="480"/>
      <c r="H45" s="253">
        <v>11642</v>
      </c>
    </row>
    <row r="46" spans="4:8" s="212" customFormat="1" ht="18.75" x14ac:dyDescent="0.2">
      <c r="D46" s="251" t="s">
        <v>4443</v>
      </c>
      <c r="E46" s="268"/>
      <c r="F46" s="252">
        <v>26066</v>
      </c>
      <c r="G46" s="480"/>
      <c r="H46" s="253">
        <v>31176</v>
      </c>
    </row>
    <row r="47" spans="4:8" s="212" customFormat="1" ht="18.75" x14ac:dyDescent="0.2">
      <c r="D47" s="251" t="s">
        <v>4444</v>
      </c>
      <c r="E47" s="268"/>
      <c r="F47" s="252">
        <v>2307</v>
      </c>
      <c r="G47" s="480"/>
      <c r="H47" s="253">
        <v>19072</v>
      </c>
    </row>
    <row r="48" spans="4:8" s="212" customFormat="1" ht="18.75" x14ac:dyDescent="0.2">
      <c r="D48" s="251" t="s">
        <v>7108</v>
      </c>
      <c r="E48" s="268"/>
      <c r="F48" s="252">
        <v>20130</v>
      </c>
      <c r="G48" s="480"/>
      <c r="H48" s="253">
        <v>-2543</v>
      </c>
    </row>
    <row r="49" spans="1:8" s="212" customFormat="1" ht="18.75" x14ac:dyDescent="0.2">
      <c r="D49" s="251" t="s">
        <v>7109</v>
      </c>
      <c r="E49" s="268"/>
      <c r="F49" s="252">
        <v>50923</v>
      </c>
      <c r="G49" s="480"/>
      <c r="H49" s="253">
        <v>4659</v>
      </c>
    </row>
    <row r="50" spans="1:8" s="180" customFormat="1" ht="18.75" x14ac:dyDescent="0.2">
      <c r="A50" s="246"/>
      <c r="B50" s="246"/>
      <c r="C50" s="246"/>
      <c r="D50" s="248"/>
      <c r="E50" s="248"/>
      <c r="F50" s="269">
        <v>116132</v>
      </c>
      <c r="G50" s="480"/>
      <c r="H50" s="270">
        <v>95110</v>
      </c>
    </row>
    <row r="51" spans="1:8" s="180" customFormat="1" ht="5.25" customHeight="1" x14ac:dyDescent="0.2">
      <c r="A51" s="246"/>
      <c r="B51" s="246"/>
      <c r="C51" s="246"/>
      <c r="F51" s="244"/>
      <c r="G51" s="480"/>
      <c r="H51" s="271"/>
    </row>
    <row r="52" spans="1:8" s="180" customFormat="1" ht="18.75" hidden="1" x14ac:dyDescent="0.2">
      <c r="A52" s="246"/>
      <c r="B52" s="246"/>
      <c r="C52" s="246"/>
      <c r="D52" s="272"/>
      <c r="F52" s="273"/>
      <c r="G52" s="480"/>
      <c r="H52" s="274"/>
    </row>
    <row r="53" spans="1:8" s="180" customFormat="1" ht="21" customHeight="1" x14ac:dyDescent="0.2">
      <c r="A53" s="246"/>
      <c r="B53" s="246"/>
      <c r="C53" s="246"/>
      <c r="D53" s="282" t="s">
        <v>4445</v>
      </c>
      <c r="E53" s="294"/>
      <c r="F53" s="295">
        <v>-3962</v>
      </c>
      <c r="G53" s="480"/>
      <c r="H53" s="296">
        <v>-7244</v>
      </c>
    </row>
    <row r="54" spans="1:8" s="180" customFormat="1" ht="18.75" x14ac:dyDescent="0.2">
      <c r="A54" s="246"/>
      <c r="B54" s="246"/>
      <c r="C54" s="246"/>
      <c r="D54" s="37" t="s">
        <v>4446</v>
      </c>
      <c r="E54" s="41"/>
      <c r="F54" s="40">
        <v>0</v>
      </c>
      <c r="G54" s="480"/>
      <c r="H54" s="38">
        <v>167</v>
      </c>
    </row>
    <row r="55" spans="1:8" s="180" customFormat="1" ht="18.75" x14ac:dyDescent="0.2">
      <c r="D55" s="37" t="s">
        <v>4447</v>
      </c>
      <c r="E55" s="41"/>
      <c r="F55" s="40">
        <v>-3962</v>
      </c>
      <c r="G55" s="480"/>
      <c r="H55" s="38">
        <v>-7411</v>
      </c>
    </row>
    <row r="56" spans="1:8" s="180" customFormat="1" ht="18.75" hidden="1" x14ac:dyDescent="0.2">
      <c r="A56" s="246"/>
      <c r="B56" s="246"/>
      <c r="C56" s="246"/>
      <c r="D56" s="37" t="s">
        <v>4448</v>
      </c>
      <c r="E56" s="41"/>
      <c r="F56" s="40">
        <v>0</v>
      </c>
      <c r="G56" s="480"/>
      <c r="H56" s="38">
        <v>0</v>
      </c>
    </row>
    <row r="57" spans="1:8" s="180" customFormat="1" ht="18.75" hidden="1" x14ac:dyDescent="0.2">
      <c r="A57" s="246"/>
      <c r="B57" s="246"/>
      <c r="C57" s="246"/>
      <c r="D57" s="37" t="s">
        <v>4449</v>
      </c>
      <c r="E57" s="41"/>
      <c r="F57" s="40">
        <v>0</v>
      </c>
      <c r="G57" s="480"/>
      <c r="H57" s="38">
        <v>0</v>
      </c>
    </row>
    <row r="58" spans="1:8" s="180" customFormat="1" ht="7.5" customHeight="1" x14ac:dyDescent="0.2">
      <c r="A58" s="246"/>
      <c r="B58" s="246"/>
      <c r="C58" s="246"/>
      <c r="D58" s="297"/>
      <c r="E58" s="297"/>
      <c r="F58" s="299"/>
      <c r="G58" s="480"/>
      <c r="H58" s="298"/>
    </row>
    <row r="59" spans="1:8" s="180" customFormat="1" ht="19.5" x14ac:dyDescent="0.2">
      <c r="A59" s="246"/>
      <c r="B59" s="246"/>
      <c r="C59" s="246"/>
      <c r="D59" s="282" t="s">
        <v>4450</v>
      </c>
      <c r="E59" s="294"/>
      <c r="F59" s="682">
        <v>-25914</v>
      </c>
      <c r="G59" s="480"/>
      <c r="H59" s="683">
        <v>-26860</v>
      </c>
    </row>
    <row r="60" spans="1:8" s="180" customFormat="1" ht="18.75" x14ac:dyDescent="0.2">
      <c r="A60" s="272"/>
      <c r="B60" s="272"/>
      <c r="C60" s="272"/>
      <c r="D60" s="37" t="s">
        <v>4451</v>
      </c>
      <c r="E60" s="41"/>
      <c r="F60" s="40">
        <v>-25914</v>
      </c>
      <c r="G60" s="480"/>
      <c r="H60" s="38">
        <v>-26860</v>
      </c>
    </row>
    <row r="61" spans="1:8" s="180" customFormat="1" ht="7.5" customHeight="1" x14ac:dyDescent="0.2">
      <c r="A61" s="246"/>
      <c r="B61" s="246"/>
      <c r="C61" s="246"/>
      <c r="D61" s="297"/>
      <c r="E61" s="297"/>
      <c r="F61" s="299"/>
      <c r="G61" s="480"/>
      <c r="H61" s="298"/>
    </row>
    <row r="62" spans="1:8" s="180" customFormat="1" ht="21" customHeight="1" thickBot="1" x14ac:dyDescent="0.25">
      <c r="A62" s="246"/>
      <c r="B62" s="246"/>
      <c r="C62" s="246"/>
      <c r="D62" s="300" t="s">
        <v>4452</v>
      </c>
      <c r="E62" s="300"/>
      <c r="F62" s="301">
        <v>29430</v>
      </c>
      <c r="G62" s="480"/>
      <c r="H62" s="301">
        <v>14457</v>
      </c>
    </row>
    <row r="63" spans="1:8" s="180" customFormat="1" ht="5.25" customHeight="1" thickTop="1" x14ac:dyDescent="0.2">
      <c r="A63" s="246"/>
      <c r="B63" s="246"/>
      <c r="C63" s="246"/>
      <c r="D63" s="297"/>
      <c r="E63" s="297"/>
      <c r="F63" s="299"/>
      <c r="G63" s="480"/>
      <c r="H63" s="298"/>
    </row>
    <row r="64" spans="1:8" s="180" customFormat="1" ht="18.75" x14ac:dyDescent="0.2">
      <c r="A64" s="246"/>
      <c r="B64" s="246"/>
      <c r="C64" s="246"/>
      <c r="D64" s="34" t="s">
        <v>7149</v>
      </c>
      <c r="E64" s="34"/>
      <c r="F64" s="42"/>
      <c r="G64" s="480"/>
      <c r="H64" s="43"/>
    </row>
    <row r="65" spans="1:8" s="180" customFormat="1" ht="18.75" x14ac:dyDescent="0.2">
      <c r="A65" s="246"/>
      <c r="B65" s="246"/>
      <c r="C65" s="246"/>
      <c r="D65" s="303" t="s">
        <v>7150</v>
      </c>
      <c r="E65" s="34"/>
      <c r="F65" s="35">
        <v>49295</v>
      </c>
      <c r="G65" s="480"/>
      <c r="H65" s="38">
        <v>34838</v>
      </c>
    </row>
    <row r="66" spans="1:8" s="180" customFormat="1" ht="18.75" x14ac:dyDescent="0.2">
      <c r="A66" s="246"/>
      <c r="B66" s="246"/>
      <c r="C66" s="246"/>
      <c r="D66" s="303" t="s">
        <v>7151</v>
      </c>
      <c r="E66" s="44"/>
      <c r="F66" s="35">
        <v>78725</v>
      </c>
      <c r="G66" s="480"/>
      <c r="H66" s="38">
        <v>49295</v>
      </c>
    </row>
    <row r="67" spans="1:8" s="180" customFormat="1" ht="5.25" customHeight="1" x14ac:dyDescent="0.2">
      <c r="A67" s="275"/>
      <c r="B67" s="275"/>
      <c r="C67" s="275"/>
      <c r="D67" s="304"/>
      <c r="E67" s="304"/>
      <c r="F67" s="305"/>
      <c r="G67" s="480"/>
      <c r="H67" s="305"/>
    </row>
    <row r="68" spans="1:8" s="180" customFormat="1" ht="21" customHeight="1" thickBot="1" x14ac:dyDescent="0.25">
      <c r="A68" s="246"/>
      <c r="B68" s="246"/>
      <c r="C68" s="246"/>
      <c r="D68" s="300" t="s">
        <v>4453</v>
      </c>
      <c r="E68" s="300"/>
      <c r="F68" s="301">
        <v>29430</v>
      </c>
      <c r="G68" s="480"/>
      <c r="H68" s="302">
        <v>14457</v>
      </c>
    </row>
    <row r="69" spans="1:8" ht="16.5" thickTop="1" x14ac:dyDescent="0.25">
      <c r="A69" s="276"/>
      <c r="B69" s="276"/>
      <c r="C69" s="276"/>
      <c r="D69" s="277"/>
      <c r="E69" s="242"/>
      <c r="F69" s="245"/>
      <c r="G69" s="245"/>
      <c r="H69" s="273"/>
    </row>
    <row r="70" spans="1:8" x14ac:dyDescent="0.25">
      <c r="A70" s="276"/>
      <c r="B70" s="276"/>
      <c r="C70" s="276"/>
      <c r="D70" s="277"/>
      <c r="E70" s="242"/>
      <c r="F70" s="245"/>
      <c r="G70" s="245"/>
      <c r="H70" s="273"/>
    </row>
    <row r="71" spans="1:8" s="241" customFormat="1" ht="12.75" customHeight="1" x14ac:dyDescent="0.25">
      <c r="A71" s="240"/>
      <c r="B71" s="240"/>
      <c r="C71" s="240"/>
      <c r="D71" s="242"/>
      <c r="E71" s="242"/>
      <c r="F71" s="244"/>
      <c r="G71" s="244"/>
      <c r="H71" s="245"/>
    </row>
    <row r="72" spans="1:8" s="241" customFormat="1" ht="12.75" customHeight="1" x14ac:dyDescent="0.25">
      <c r="A72" s="240"/>
      <c r="B72" s="240"/>
      <c r="C72" s="240"/>
      <c r="D72" s="242"/>
      <c r="E72" s="242"/>
      <c r="F72" s="244"/>
      <c r="G72" s="244"/>
      <c r="H72" s="245"/>
    </row>
    <row r="73" spans="1:8" s="241" customFormat="1" x14ac:dyDescent="0.25">
      <c r="A73" s="240"/>
      <c r="B73" s="240"/>
      <c r="C73" s="240"/>
      <c r="D73" s="242"/>
      <c r="E73" s="242"/>
      <c r="F73" s="244"/>
      <c r="G73" s="244"/>
      <c r="H73" s="245"/>
    </row>
    <row r="94" spans="1:8" s="243" customFormat="1" ht="85.5" customHeight="1" x14ac:dyDescent="0.25">
      <c r="A94" s="240"/>
      <c r="B94" s="240"/>
      <c r="C94" s="240"/>
      <c r="D94" s="242"/>
      <c r="F94" s="244"/>
      <c r="G94" s="244"/>
      <c r="H94" s="245"/>
    </row>
    <row r="100" spans="1:8" s="243" customFormat="1" x14ac:dyDescent="0.25">
      <c r="A100" s="240"/>
      <c r="B100" s="240"/>
      <c r="C100" s="240"/>
      <c r="D100" s="240"/>
      <c r="F100" s="244"/>
      <c r="G100" s="244"/>
      <c r="H100" s="245"/>
    </row>
  </sheetData>
  <mergeCells count="7">
    <mergeCell ref="D8:H8"/>
    <mergeCell ref="D2:H2"/>
    <mergeCell ref="D3:H3"/>
    <mergeCell ref="D4:H4"/>
    <mergeCell ref="D5:H5"/>
    <mergeCell ref="D6:H6"/>
    <mergeCell ref="D7:H7"/>
  </mergeCells>
  <pageMargins left="0.23611111111111099" right="0.23611111111111099" top="0.60902777777777795" bottom="0.60902777777777795" header="0.31527777777777799" footer="0.31527777777777799"/>
  <pageSetup paperSize="9" scale="74" fitToHeight="0" orientation="portrait" r:id="rId1"/>
  <headerFooter>
    <oddHeader>&amp;C&amp;G</oddHeader>
    <oddFooter xml:space="preserve">&amp;LAv. Gal. Euclydes de Oliveira Figueiredo, 200 - Brisamar - Itaguaí – RJ, Cep: 23825-410
+55 21 3781-4303  |  www.nuclep.gov.br  |  presidencia@nuclep.gov.br
</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R663"/>
  <sheetViews>
    <sheetView showGridLines="0" zoomScaleNormal="100" workbookViewId="0">
      <selection activeCell="M16" sqref="M16"/>
    </sheetView>
  </sheetViews>
  <sheetFormatPr defaultColWidth="9.140625" defaultRowHeight="15.75" x14ac:dyDescent="0.25"/>
  <cols>
    <col min="1" max="1" width="2.140625" style="26" customWidth="1"/>
    <col min="2" max="2" width="9.140625" style="26"/>
    <col min="3" max="3" width="20.85546875" style="26" customWidth="1"/>
    <col min="4" max="4" width="13.28515625" style="26" customWidth="1"/>
    <col min="5" max="5" width="17" style="26" customWidth="1"/>
    <col min="6" max="6" width="3.28515625" style="26" customWidth="1"/>
    <col min="7" max="7" width="20.7109375" style="26" customWidth="1"/>
    <col min="8" max="8" width="3.7109375" style="32" customWidth="1"/>
    <col min="9" max="9" width="20.7109375" style="51" customWidth="1"/>
    <col min="10" max="10" width="11.28515625" style="26" customWidth="1"/>
    <col min="11" max="11" width="5.5703125" style="26" customWidth="1"/>
    <col min="12" max="32" width="9.140625" style="26"/>
    <col min="33" max="33" width="13.140625" style="26" customWidth="1"/>
    <col min="34" max="16384" width="9.140625" style="26"/>
  </cols>
  <sheetData>
    <row r="1" spans="2:13" ht="21" customHeight="1" x14ac:dyDescent="0.25">
      <c r="B1" s="952"/>
      <c r="C1" s="952"/>
      <c r="D1" s="952"/>
      <c r="E1" s="952"/>
      <c r="F1" s="952"/>
      <c r="G1" s="952"/>
      <c r="H1" s="952"/>
      <c r="I1" s="952"/>
    </row>
    <row r="2" spans="2:13" ht="21" customHeight="1" x14ac:dyDescent="0.25">
      <c r="B2" s="952"/>
      <c r="C2" s="952"/>
      <c r="D2" s="952"/>
      <c r="E2" s="952"/>
      <c r="F2" s="952"/>
      <c r="G2" s="952"/>
      <c r="H2" s="952"/>
      <c r="I2" s="952"/>
    </row>
    <row r="3" spans="2:13" ht="21" customHeight="1" x14ac:dyDescent="0.25">
      <c r="B3" s="952" t="s">
        <v>4486</v>
      </c>
      <c r="C3" s="952"/>
      <c r="D3" s="952"/>
      <c r="E3" s="952"/>
      <c r="F3" s="952"/>
      <c r="G3" s="952"/>
      <c r="H3" s="952"/>
      <c r="I3" s="952"/>
      <c r="J3" s="50"/>
    </row>
    <row r="4" spans="2:13" ht="21" customHeight="1" x14ac:dyDescent="0.25">
      <c r="B4" s="952" t="s">
        <v>7309</v>
      </c>
      <c r="C4" s="952"/>
      <c r="D4" s="952"/>
      <c r="E4" s="952"/>
      <c r="F4" s="952"/>
      <c r="G4" s="952"/>
      <c r="H4" s="952"/>
      <c r="I4" s="952"/>
      <c r="J4" s="50"/>
    </row>
    <row r="5" spans="2:13" ht="21" customHeight="1" x14ac:dyDescent="0.25">
      <c r="B5" s="952"/>
      <c r="C5" s="952"/>
      <c r="D5" s="952"/>
      <c r="E5" s="952"/>
      <c r="F5" s="952"/>
      <c r="G5" s="952"/>
      <c r="H5" s="952"/>
      <c r="I5" s="952"/>
      <c r="J5" s="50"/>
    </row>
    <row r="6" spans="2:13" ht="21" customHeight="1" x14ac:dyDescent="0.25">
      <c r="B6" s="952" t="s">
        <v>4454</v>
      </c>
      <c r="C6" s="952"/>
      <c r="D6" s="952"/>
      <c r="E6" s="952"/>
      <c r="F6" s="952"/>
      <c r="G6" s="952"/>
      <c r="H6" s="952"/>
      <c r="I6" s="952"/>
      <c r="J6" s="50"/>
    </row>
    <row r="7" spans="2:13" ht="21" customHeight="1" x14ac:dyDescent="0.25">
      <c r="B7" s="952"/>
      <c r="C7" s="952"/>
      <c r="D7" s="952"/>
      <c r="E7" s="952"/>
      <c r="F7" s="952"/>
      <c r="G7" s="952"/>
      <c r="H7" s="952"/>
      <c r="I7" s="952"/>
      <c r="J7" s="50"/>
    </row>
    <row r="8" spans="2:13" ht="21" customHeight="1" x14ac:dyDescent="0.25">
      <c r="B8" s="952"/>
      <c r="C8" s="952"/>
      <c r="D8" s="952"/>
      <c r="E8" s="952"/>
      <c r="F8" s="952"/>
      <c r="G8" s="952"/>
      <c r="H8" s="952"/>
      <c r="I8" s="952"/>
      <c r="J8" s="50"/>
    </row>
    <row r="9" spans="2:13" ht="21" customHeight="1" x14ac:dyDescent="0.25">
      <c r="B9" s="952"/>
      <c r="C9" s="952"/>
      <c r="D9" s="952"/>
      <c r="E9" s="952"/>
      <c r="F9" s="952"/>
      <c r="G9" s="952"/>
      <c r="H9" s="952"/>
      <c r="I9" s="952"/>
      <c r="J9" s="50"/>
    </row>
    <row r="10" spans="2:13" ht="21" customHeight="1" x14ac:dyDescent="0.25">
      <c r="E10" s="50"/>
      <c r="F10" s="50"/>
      <c r="G10" s="50"/>
      <c r="I10" s="22" t="s">
        <v>4380</v>
      </c>
      <c r="J10" s="50"/>
    </row>
    <row r="11" spans="2:13" s="29" customFormat="1" ht="21" customHeight="1" x14ac:dyDescent="0.2">
      <c r="B11" s="308"/>
      <c r="C11" s="309"/>
      <c r="D11" s="309"/>
      <c r="E11" s="309"/>
      <c r="F11" s="309"/>
      <c r="G11" s="310">
        <v>46022</v>
      </c>
      <c r="H11" s="310"/>
      <c r="I11" s="310">
        <v>45657</v>
      </c>
      <c r="J11" s="36"/>
    </row>
    <row r="12" spans="2:13" s="29" customFormat="1" ht="21" customHeight="1" x14ac:dyDescent="0.2">
      <c r="B12" s="311"/>
      <c r="C12" s="311"/>
      <c r="D12" s="311"/>
      <c r="E12" s="312"/>
      <c r="F12" s="312"/>
      <c r="G12" s="313"/>
      <c r="H12" s="313"/>
      <c r="I12" s="314"/>
      <c r="J12" s="36"/>
    </row>
    <row r="13" spans="2:13" s="29" customFormat="1" ht="21" customHeight="1" x14ac:dyDescent="0.2">
      <c r="B13" s="445" t="s">
        <v>4455</v>
      </c>
      <c r="C13" s="445"/>
      <c r="D13" s="445"/>
      <c r="E13" s="445"/>
      <c r="F13" s="446"/>
      <c r="G13" s="447">
        <v>-4087</v>
      </c>
      <c r="H13" s="448"/>
      <c r="I13" s="447">
        <v>32</v>
      </c>
      <c r="J13" s="53"/>
    </row>
    <row r="14" spans="2:13" s="29" customFormat="1" ht="6.75" customHeight="1" x14ac:dyDescent="0.2">
      <c r="B14" s="450"/>
      <c r="C14" s="450"/>
      <c r="D14" s="450"/>
      <c r="E14" s="450"/>
      <c r="F14" s="450"/>
      <c r="G14" s="458"/>
      <c r="H14" s="448"/>
      <c r="I14" s="459"/>
      <c r="J14" s="36"/>
    </row>
    <row r="15" spans="2:13" s="29" customFormat="1" ht="21" customHeight="1" thickBot="1" x14ac:dyDescent="0.25">
      <c r="B15" s="449" t="s">
        <v>4456</v>
      </c>
      <c r="C15" s="450"/>
      <c r="D15" s="450"/>
      <c r="E15" s="450"/>
      <c r="F15" s="450"/>
      <c r="G15" s="451">
        <v>1231</v>
      </c>
      <c r="H15" s="452"/>
      <c r="I15" s="451">
        <v>1231</v>
      </c>
      <c r="J15" s="54"/>
      <c r="M15" s="910"/>
    </row>
    <row r="16" spans="2:13" s="29" customFormat="1" ht="6.75" customHeight="1" thickBot="1" x14ac:dyDescent="0.25">
      <c r="B16" s="449"/>
      <c r="C16" s="450"/>
      <c r="D16" s="450"/>
      <c r="E16" s="450"/>
      <c r="F16" s="450"/>
      <c r="G16" s="453"/>
      <c r="H16" s="448"/>
      <c r="I16" s="453"/>
      <c r="J16" s="54"/>
    </row>
    <row r="17" spans="2:14" s="29" customFormat="1" ht="21" customHeight="1" x14ac:dyDescent="0.2">
      <c r="B17" s="450"/>
      <c r="C17" s="450" t="s">
        <v>4457</v>
      </c>
      <c r="D17" s="450"/>
      <c r="E17" s="450"/>
      <c r="F17" s="450"/>
      <c r="G17" s="481">
        <v>1231</v>
      </c>
      <c r="H17" s="454"/>
      <c r="I17" s="481">
        <v>1231</v>
      </c>
      <c r="J17" s="54"/>
    </row>
    <row r="18" spans="2:14" s="29" customFormat="1" ht="21" hidden="1" customHeight="1" x14ac:dyDescent="0.2">
      <c r="B18" s="450"/>
      <c r="C18" s="450" t="s">
        <v>7006</v>
      </c>
      <c r="D18" s="450"/>
      <c r="E18" s="450"/>
      <c r="F18" s="450"/>
      <c r="G18" s="460">
        <v>0</v>
      </c>
      <c r="H18" s="448"/>
      <c r="I18" s="461">
        <v>0</v>
      </c>
      <c r="J18" s="54"/>
    </row>
    <row r="19" spans="2:14" s="29" customFormat="1" ht="6.75" customHeight="1" x14ac:dyDescent="0.2">
      <c r="B19" s="450"/>
      <c r="C19" s="450"/>
      <c r="D19" s="450"/>
      <c r="E19" s="450"/>
      <c r="F19" s="450"/>
      <c r="G19" s="460"/>
      <c r="H19" s="448"/>
      <c r="I19" s="461"/>
      <c r="J19" s="54"/>
    </row>
    <row r="20" spans="2:14" s="33" customFormat="1" ht="21" customHeight="1" x14ac:dyDescent="0.2">
      <c r="B20" s="956" t="s">
        <v>4458</v>
      </c>
      <c r="C20" s="956"/>
      <c r="D20" s="956"/>
      <c r="E20" s="957"/>
      <c r="F20" s="455"/>
      <c r="G20" s="456">
        <v>-2856</v>
      </c>
      <c r="H20" s="448"/>
      <c r="I20" s="457">
        <v>1263</v>
      </c>
      <c r="J20" s="39"/>
    </row>
    <row r="21" spans="2:14" x14ac:dyDescent="0.25">
      <c r="C21" s="50"/>
      <c r="D21" s="50"/>
      <c r="E21" s="50"/>
      <c r="F21" s="50"/>
      <c r="G21" s="50"/>
      <c r="H21" s="52"/>
      <c r="I21" s="55"/>
      <c r="J21" s="50"/>
      <c r="K21" s="56"/>
    </row>
    <row r="22" spans="2:14" ht="15.75" hidden="1" customHeight="1" x14ac:dyDescent="0.25">
      <c r="H22" s="57"/>
      <c r="M22" s="45"/>
      <c r="N22" s="45"/>
    </row>
    <row r="23" spans="2:14" ht="15.75" hidden="1" customHeight="1" x14ac:dyDescent="0.25">
      <c r="E23" s="955" t="s">
        <v>4459</v>
      </c>
      <c r="F23" s="955"/>
      <c r="G23" s="955"/>
      <c r="H23" s="955"/>
      <c r="I23" s="25"/>
      <c r="M23" s="45"/>
      <c r="N23" s="45"/>
    </row>
    <row r="24" spans="2:14" x14ac:dyDescent="0.25">
      <c r="I24" s="24"/>
      <c r="M24" s="45"/>
      <c r="N24" s="45"/>
    </row>
    <row r="25" spans="2:14" x14ac:dyDescent="0.25">
      <c r="H25" s="26"/>
      <c r="I25" s="26"/>
      <c r="M25" s="45"/>
      <c r="N25" s="45"/>
    </row>
    <row r="26" spans="2:14" x14ac:dyDescent="0.25">
      <c r="H26" s="26"/>
      <c r="M26" s="45"/>
      <c r="N26" s="45"/>
    </row>
    <row r="27" spans="2:14" x14ac:dyDescent="0.25">
      <c r="H27" s="26"/>
      <c r="M27" s="45"/>
      <c r="N27" s="45"/>
    </row>
    <row r="28" spans="2:14" ht="13.5" customHeight="1" x14ac:dyDescent="0.25">
      <c r="H28" s="26"/>
      <c r="M28" s="45"/>
      <c r="N28" s="45"/>
    </row>
    <row r="29" spans="2:14" ht="13.5" customHeight="1" x14ac:dyDescent="0.25">
      <c r="H29" s="26"/>
      <c r="M29" s="45"/>
      <c r="N29" s="45"/>
    </row>
    <row r="30" spans="2:14" x14ac:dyDescent="0.25">
      <c r="H30" s="26"/>
      <c r="M30" s="45"/>
      <c r="N30" s="45"/>
    </row>
    <row r="31" spans="2:14" x14ac:dyDescent="0.25">
      <c r="H31" s="26"/>
      <c r="M31" s="45"/>
      <c r="N31" s="45"/>
    </row>
    <row r="32" spans="2:14" x14ac:dyDescent="0.25">
      <c r="H32" s="26"/>
      <c r="M32" s="45"/>
      <c r="N32" s="45"/>
    </row>
    <row r="33" spans="8:14" x14ac:dyDescent="0.25">
      <c r="H33" s="26"/>
      <c r="M33" s="45"/>
      <c r="N33" s="45"/>
    </row>
    <row r="34" spans="8:14" x14ac:dyDescent="0.25">
      <c r="H34" s="26"/>
      <c r="M34" s="45"/>
      <c r="N34" s="45"/>
    </row>
    <row r="35" spans="8:14" x14ac:dyDescent="0.25">
      <c r="H35" s="26"/>
      <c r="M35" s="45"/>
      <c r="N35" s="45"/>
    </row>
    <row r="36" spans="8:14" x14ac:dyDescent="0.25">
      <c r="H36" s="26"/>
      <c r="M36" s="45"/>
      <c r="N36" s="45"/>
    </row>
    <row r="37" spans="8:14" x14ac:dyDescent="0.25">
      <c r="H37" s="26"/>
      <c r="M37" s="45"/>
      <c r="N37" s="45"/>
    </row>
    <row r="38" spans="8:14" x14ac:dyDescent="0.25">
      <c r="M38" s="45"/>
      <c r="N38" s="45"/>
    </row>
    <row r="39" spans="8:14" x14ac:dyDescent="0.25">
      <c r="M39" s="45"/>
      <c r="N39" s="45"/>
    </row>
    <row r="40" spans="8:14" x14ac:dyDescent="0.25">
      <c r="M40" s="45"/>
      <c r="N40" s="45"/>
    </row>
    <row r="41" spans="8:14" x14ac:dyDescent="0.25">
      <c r="M41" s="45"/>
      <c r="N41" s="45"/>
    </row>
    <row r="42" spans="8:14" x14ac:dyDescent="0.25">
      <c r="M42" s="45"/>
      <c r="N42" s="45"/>
    </row>
    <row r="43" spans="8:14" x14ac:dyDescent="0.25">
      <c r="M43" s="45"/>
      <c r="N43" s="45"/>
    </row>
    <row r="44" spans="8:14" x14ac:dyDescent="0.25">
      <c r="M44" s="45"/>
      <c r="N44" s="45"/>
    </row>
    <row r="45" spans="8:14" x14ac:dyDescent="0.25">
      <c r="M45" s="45"/>
      <c r="N45" s="45"/>
    </row>
    <row r="46" spans="8:14" x14ac:dyDescent="0.25">
      <c r="M46" s="45"/>
      <c r="N46" s="45"/>
    </row>
    <row r="47" spans="8:14" x14ac:dyDescent="0.25">
      <c r="M47" s="45"/>
      <c r="N47" s="45"/>
    </row>
    <row r="48" spans="8:14" x14ac:dyDescent="0.25">
      <c r="M48" s="45"/>
      <c r="N48" s="45"/>
    </row>
    <row r="49" spans="13:14" x14ac:dyDescent="0.25">
      <c r="M49" s="45"/>
      <c r="N49" s="45"/>
    </row>
    <row r="50" spans="13:14" x14ac:dyDescent="0.25">
      <c r="M50" s="45"/>
      <c r="N50" s="45"/>
    </row>
    <row r="51" spans="13:14" x14ac:dyDescent="0.25">
      <c r="M51" s="45"/>
      <c r="N51" s="45"/>
    </row>
    <row r="52" spans="13:14" x14ac:dyDescent="0.25">
      <c r="M52" s="45"/>
      <c r="N52" s="45"/>
    </row>
    <row r="81" spans="7:7" x14ac:dyDescent="0.25">
      <c r="G81" s="47"/>
    </row>
    <row r="304" spans="18:18" x14ac:dyDescent="0.25">
      <c r="R304" s="26">
        <v>0</v>
      </c>
    </row>
    <row r="433" spans="18:18" x14ac:dyDescent="0.25">
      <c r="R433" s="26">
        <v>0</v>
      </c>
    </row>
    <row r="449" spans="4:18" x14ac:dyDescent="0.25">
      <c r="D449" s="26" t="s">
        <v>5971</v>
      </c>
    </row>
    <row r="452" spans="4:18" x14ac:dyDescent="0.25">
      <c r="E452" s="26" t="s">
        <v>5547</v>
      </c>
      <c r="R452" s="26">
        <v>9155454.75</v>
      </c>
    </row>
    <row r="453" spans="4:18" x14ac:dyDescent="0.25">
      <c r="E453" s="26" t="s">
        <v>4519</v>
      </c>
      <c r="R453" s="26">
        <v>491082.02</v>
      </c>
    </row>
    <row r="454" spans="4:18" x14ac:dyDescent="0.25">
      <c r="E454" s="26" t="s">
        <v>4520</v>
      </c>
      <c r="R454" s="26">
        <v>413227.86</v>
      </c>
    </row>
    <row r="455" spans="4:18" x14ac:dyDescent="0.25">
      <c r="E455" s="26" t="s">
        <v>4521</v>
      </c>
      <c r="R455" s="26">
        <v>157361.20000000001</v>
      </c>
    </row>
    <row r="456" spans="4:18" x14ac:dyDescent="0.25">
      <c r="E456" s="26" t="s">
        <v>5972</v>
      </c>
      <c r="R456" s="26">
        <v>123334.53</v>
      </c>
    </row>
    <row r="457" spans="4:18" x14ac:dyDescent="0.25">
      <c r="E457" s="26" t="s">
        <v>5973</v>
      </c>
      <c r="R457" s="26">
        <v>100000</v>
      </c>
    </row>
    <row r="458" spans="4:18" x14ac:dyDescent="0.25">
      <c r="R458" s="26">
        <v>1105094.1100000013</v>
      </c>
    </row>
    <row r="464" spans="4:18" x14ac:dyDescent="0.25">
      <c r="D464" s="26" t="s">
        <v>5970</v>
      </c>
    </row>
    <row r="470" spans="18:18" x14ac:dyDescent="0.25">
      <c r="R470" s="26">
        <v>2225035.19</v>
      </c>
    </row>
    <row r="634" spans="1:1" x14ac:dyDescent="0.25">
      <c r="A634" s="26">
        <v>34</v>
      </c>
    </row>
    <row r="642" spans="1:1" x14ac:dyDescent="0.25">
      <c r="A642" s="26">
        <v>35</v>
      </c>
    </row>
    <row r="663" ht="85.5" customHeight="1" x14ac:dyDescent="0.25"/>
  </sheetData>
  <mergeCells count="11">
    <mergeCell ref="B2:I2"/>
    <mergeCell ref="B1:I1"/>
    <mergeCell ref="B4:I4"/>
    <mergeCell ref="B5:I5"/>
    <mergeCell ref="E23:H23"/>
    <mergeCell ref="B20:E20"/>
    <mergeCell ref="B6:I6"/>
    <mergeCell ref="B7:I7"/>
    <mergeCell ref="B8:I8"/>
    <mergeCell ref="B9:I9"/>
    <mergeCell ref="B3:I3"/>
  </mergeCells>
  <pageMargins left="0.25" right="0.25" top="0.61111111111111105" bottom="0.61111111111111105" header="0.3" footer="0.3"/>
  <pageSetup paperSize="9" scale="82" fitToHeight="0" orientation="portrait" r:id="rId1"/>
  <headerFooter>
    <oddHeader>&amp;C&amp;G</oddHeader>
    <oddFooter xml:space="preserve">&amp;LAv. Gal. Euclydes de Oliveira Figueiredo, 200 - Brisamar - Itaguaí – RJ, Cep: 23825-410
+55 21 3781-4303  |  www.nuclep.gov.br  |  presidencia@nuclep.gov.br
</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62C5-FEA7-4FB9-A38F-ED31D78F1294}">
  <sheetPr>
    <tabColor rgb="FFFFFF00"/>
    <pageSetUpPr fitToPage="1"/>
  </sheetPr>
  <dimension ref="A1:L635"/>
  <sheetViews>
    <sheetView showGridLines="0" topLeftCell="A21" zoomScaleNormal="100" workbookViewId="0">
      <selection activeCell="M16" sqref="M16"/>
    </sheetView>
  </sheetViews>
  <sheetFormatPr defaultColWidth="9.140625" defaultRowHeight="15.75" x14ac:dyDescent="0.25"/>
  <cols>
    <col min="1" max="1" width="7.85546875" style="11" customWidth="1"/>
    <col min="2" max="2" width="3.28515625" style="11" customWidth="1"/>
    <col min="3" max="3" width="2.140625" style="11" customWidth="1"/>
    <col min="4" max="4" width="3.28515625" style="11" customWidth="1"/>
    <col min="5" max="5" width="74.42578125" style="11" customWidth="1"/>
    <col min="6" max="6" width="1" style="11" customWidth="1"/>
    <col min="7" max="7" width="18.5703125" style="11" customWidth="1"/>
    <col min="8" max="8" width="1" style="11" customWidth="1"/>
    <col min="9" max="9" width="19.7109375" style="11" customWidth="1"/>
    <col min="10" max="10" width="9.140625" style="11"/>
    <col min="11" max="11" width="1.85546875" style="11" customWidth="1"/>
    <col min="12" max="16384" width="9.140625" style="11"/>
  </cols>
  <sheetData>
    <row r="1" spans="1:12" ht="18.75" customHeight="1" x14ac:dyDescent="0.25">
      <c r="A1" s="173"/>
      <c r="B1" s="173"/>
      <c r="C1" s="173"/>
      <c r="D1" s="173"/>
      <c r="E1" s="173"/>
      <c r="F1" s="173"/>
      <c r="G1" s="173"/>
      <c r="H1" s="173"/>
      <c r="I1" s="173"/>
    </row>
    <row r="2" spans="1:12" ht="18.75" customHeight="1" x14ac:dyDescent="0.25">
      <c r="A2" s="173"/>
      <c r="B2" s="173"/>
      <c r="C2" s="173"/>
      <c r="D2" s="173"/>
      <c r="E2" s="173"/>
      <c r="F2" s="173"/>
      <c r="G2" s="173"/>
      <c r="H2" s="173"/>
      <c r="I2" s="173"/>
    </row>
    <row r="3" spans="1:12" ht="18.75" customHeight="1" x14ac:dyDescent="0.25">
      <c r="A3" s="173"/>
      <c r="B3" s="958" t="s">
        <v>4486</v>
      </c>
      <c r="C3" s="958"/>
      <c r="D3" s="958"/>
      <c r="E3" s="958"/>
      <c r="F3" s="958"/>
      <c r="G3" s="958"/>
      <c r="H3" s="958"/>
      <c r="I3" s="958"/>
    </row>
    <row r="4" spans="1:12" ht="18.75" customHeight="1" x14ac:dyDescent="0.25">
      <c r="A4" s="173"/>
      <c r="B4" s="958" t="s">
        <v>7309</v>
      </c>
      <c r="C4" s="958"/>
      <c r="D4" s="958"/>
      <c r="E4" s="958"/>
      <c r="F4" s="958"/>
      <c r="G4" s="958"/>
      <c r="H4" s="958"/>
      <c r="I4" s="958"/>
    </row>
    <row r="5" spans="1:12" ht="18.75" customHeight="1" x14ac:dyDescent="0.25">
      <c r="A5" s="173"/>
      <c r="B5" s="958"/>
      <c r="C5" s="958"/>
      <c r="D5" s="958"/>
      <c r="E5" s="958"/>
      <c r="F5" s="958"/>
      <c r="G5" s="958"/>
      <c r="H5" s="958"/>
      <c r="I5" s="958"/>
    </row>
    <row r="6" spans="1:12" s="20" customFormat="1" ht="18.75" customHeight="1" x14ac:dyDescent="0.2">
      <c r="A6" s="176"/>
      <c r="B6" s="958" t="s">
        <v>4460</v>
      </c>
      <c r="C6" s="958"/>
      <c r="D6" s="958"/>
      <c r="E6" s="958"/>
      <c r="F6" s="958"/>
      <c r="G6" s="958"/>
      <c r="H6" s="958"/>
      <c r="I6" s="958"/>
    </row>
    <row r="7" spans="1:12" s="20" customFormat="1" ht="18.75" customHeight="1" x14ac:dyDescent="0.2">
      <c r="A7" s="176"/>
      <c r="B7" s="958"/>
      <c r="C7" s="958"/>
      <c r="D7" s="958"/>
      <c r="E7" s="958"/>
      <c r="F7" s="958"/>
      <c r="G7" s="958"/>
      <c r="H7" s="958"/>
      <c r="I7" s="958"/>
    </row>
    <row r="8" spans="1:12" s="20" customFormat="1" ht="18.75" customHeight="1" x14ac:dyDescent="0.2">
      <c r="A8" s="176"/>
      <c r="B8" s="958"/>
      <c r="C8" s="958"/>
      <c r="D8" s="958"/>
      <c r="E8" s="958"/>
      <c r="F8" s="958"/>
      <c r="G8" s="958"/>
      <c r="H8" s="958"/>
      <c r="I8" s="958"/>
    </row>
    <row r="9" spans="1:12" s="20" customFormat="1" ht="18.75" customHeight="1" x14ac:dyDescent="0.2">
      <c r="A9" s="176"/>
      <c r="B9" s="958"/>
      <c r="C9" s="958"/>
      <c r="D9" s="958"/>
      <c r="E9" s="958"/>
      <c r="F9" s="958"/>
      <c r="G9" s="958"/>
      <c r="H9" s="958"/>
      <c r="I9" s="958"/>
    </row>
    <row r="10" spans="1:12" s="20" customFormat="1" ht="18.75" customHeight="1" x14ac:dyDescent="0.2">
      <c r="A10" s="176"/>
      <c r="B10" s="177"/>
      <c r="C10" s="177"/>
      <c r="D10" s="177"/>
      <c r="E10" s="177"/>
      <c r="F10" s="177"/>
      <c r="G10" s="177"/>
      <c r="H10" s="177"/>
      <c r="I10" s="182" t="s">
        <v>4380</v>
      </c>
    </row>
    <row r="11" spans="1:12" s="20" customFormat="1" ht="18.75" customHeight="1" x14ac:dyDescent="0.2">
      <c r="A11" s="176"/>
      <c r="B11" s="462"/>
      <c r="C11" s="462"/>
      <c r="D11" s="462"/>
      <c r="E11" s="462"/>
      <c r="F11" s="463"/>
      <c r="G11" s="464">
        <v>46022</v>
      </c>
      <c r="H11" s="463"/>
      <c r="I11" s="464">
        <v>45657</v>
      </c>
    </row>
    <row r="12" spans="1:12" s="20" customFormat="1" ht="9" customHeight="1" x14ac:dyDescent="0.2">
      <c r="A12" s="176"/>
      <c r="B12" s="465"/>
      <c r="C12" s="465"/>
      <c r="D12" s="465"/>
      <c r="E12" s="465"/>
      <c r="F12" s="465"/>
      <c r="G12" s="466"/>
      <c r="H12" s="465"/>
      <c r="I12" s="466"/>
    </row>
    <row r="13" spans="1:12" s="20" customFormat="1" ht="26.25" customHeight="1" x14ac:dyDescent="0.2">
      <c r="A13" s="176"/>
      <c r="B13" s="161" t="s">
        <v>4461</v>
      </c>
      <c r="C13" s="467"/>
      <c r="D13" s="467"/>
      <c r="E13" s="467"/>
      <c r="F13" s="201"/>
      <c r="G13" s="202">
        <v>38363</v>
      </c>
      <c r="H13" s="201"/>
      <c r="I13" s="202">
        <v>39689</v>
      </c>
    </row>
    <row r="14" spans="1:12" s="20" customFormat="1" ht="18.75" x14ac:dyDescent="0.2">
      <c r="A14" s="176"/>
      <c r="B14" s="190"/>
      <c r="C14" s="190"/>
      <c r="D14" s="190" t="s">
        <v>4462</v>
      </c>
      <c r="E14" s="190"/>
      <c r="F14" s="468"/>
      <c r="G14" s="316">
        <v>38363</v>
      </c>
      <c r="H14" s="468"/>
      <c r="I14" s="316">
        <v>39689</v>
      </c>
      <c r="L14" s="491"/>
    </row>
    <row r="15" spans="1:12" s="20" customFormat="1" ht="18.75" hidden="1" x14ac:dyDescent="0.2">
      <c r="A15" s="176"/>
      <c r="B15" s="190"/>
      <c r="C15" s="190"/>
      <c r="D15" s="190" t="s">
        <v>7234</v>
      </c>
      <c r="E15" s="190"/>
      <c r="F15" s="468"/>
      <c r="G15" s="316">
        <v>0</v>
      </c>
      <c r="H15" s="468"/>
      <c r="I15" s="316">
        <v>0</v>
      </c>
      <c r="L15" s="491"/>
    </row>
    <row r="16" spans="1:12" s="20" customFormat="1" ht="18.75" x14ac:dyDescent="0.2">
      <c r="A16" s="176"/>
      <c r="B16" s="190"/>
      <c r="C16" s="190"/>
      <c r="D16" s="190"/>
      <c r="E16" s="190"/>
      <c r="F16" s="190"/>
      <c r="G16" s="140"/>
      <c r="H16" s="190"/>
      <c r="I16" s="140"/>
      <c r="L16" s="491"/>
    </row>
    <row r="17" spans="1:12" s="20" customFormat="1" ht="26.25" customHeight="1" x14ac:dyDescent="0.2">
      <c r="A17" s="176"/>
      <c r="B17" s="161" t="s">
        <v>4463</v>
      </c>
      <c r="C17" s="467"/>
      <c r="D17" s="467"/>
      <c r="E17" s="467"/>
      <c r="F17" s="469"/>
      <c r="G17" s="170">
        <v>-87229</v>
      </c>
      <c r="H17" s="469"/>
      <c r="I17" s="170">
        <v>-145599</v>
      </c>
      <c r="L17" s="491"/>
    </row>
    <row r="18" spans="1:12" s="20" customFormat="1" ht="18.75" x14ac:dyDescent="0.2">
      <c r="A18" s="176"/>
      <c r="B18" s="190"/>
      <c r="C18" s="190"/>
      <c r="D18" s="190" t="s">
        <v>7127</v>
      </c>
      <c r="E18" s="190"/>
      <c r="F18" s="315"/>
      <c r="G18" s="316">
        <v>-39796</v>
      </c>
      <c r="H18" s="315"/>
      <c r="I18" s="316">
        <v>-33832</v>
      </c>
      <c r="L18" s="491"/>
    </row>
    <row r="19" spans="1:12" s="20" customFormat="1" ht="18.75" x14ac:dyDescent="0.2">
      <c r="A19" s="176"/>
      <c r="B19" s="190"/>
      <c r="C19" s="190"/>
      <c r="D19" s="190" t="s">
        <v>4464</v>
      </c>
      <c r="E19" s="190"/>
      <c r="F19" s="315"/>
      <c r="G19" s="316">
        <v>-47433</v>
      </c>
      <c r="H19" s="315"/>
      <c r="I19" s="316">
        <v>-111767</v>
      </c>
      <c r="L19" s="491"/>
    </row>
    <row r="20" spans="1:12" s="20" customFormat="1" ht="18.75" x14ac:dyDescent="0.2">
      <c r="A20" s="176"/>
      <c r="B20" s="190"/>
      <c r="C20" s="190"/>
      <c r="D20" s="190"/>
      <c r="E20" s="190"/>
      <c r="F20" s="468"/>
      <c r="G20" s="192"/>
      <c r="H20" s="468"/>
      <c r="I20" s="192"/>
    </row>
    <row r="21" spans="1:12" s="20" customFormat="1" ht="26.25" customHeight="1" x14ac:dyDescent="0.2">
      <c r="A21" s="176"/>
      <c r="B21" s="161" t="s">
        <v>4465</v>
      </c>
      <c r="C21" s="467"/>
      <c r="D21" s="467"/>
      <c r="E21" s="467"/>
      <c r="F21" s="469"/>
      <c r="G21" s="170">
        <v>-48866</v>
      </c>
      <c r="H21" s="469"/>
      <c r="I21" s="170">
        <v>-105910</v>
      </c>
    </row>
    <row r="22" spans="1:12" s="20" customFormat="1" ht="18.75" x14ac:dyDescent="0.2">
      <c r="A22" s="176"/>
      <c r="B22" s="190"/>
      <c r="C22" s="190"/>
      <c r="D22" s="190"/>
      <c r="E22" s="190"/>
      <c r="F22" s="468"/>
      <c r="G22" s="470"/>
      <c r="H22" s="468"/>
      <c r="I22" s="470"/>
    </row>
    <row r="23" spans="1:12" s="20" customFormat="1" ht="26.25" customHeight="1" x14ac:dyDescent="0.2">
      <c r="A23" s="176"/>
      <c r="B23" s="161" t="s">
        <v>4466</v>
      </c>
      <c r="C23" s="467"/>
      <c r="D23" s="467"/>
      <c r="E23" s="467"/>
      <c r="F23" s="469"/>
      <c r="G23" s="170">
        <v>-5960</v>
      </c>
      <c r="H23" s="469"/>
      <c r="I23" s="170">
        <v>-7518</v>
      </c>
    </row>
    <row r="24" spans="1:12" s="20" customFormat="1" ht="18.75" x14ac:dyDescent="0.2">
      <c r="A24" s="176"/>
      <c r="B24" s="190"/>
      <c r="C24" s="190"/>
      <c r="D24" s="190" t="s">
        <v>4467</v>
      </c>
      <c r="E24" s="190"/>
      <c r="F24" s="315"/>
      <c r="G24" s="316">
        <v>-5917</v>
      </c>
      <c r="H24" s="315"/>
      <c r="I24" s="316">
        <v>-7167</v>
      </c>
    </row>
    <row r="25" spans="1:12" s="20" customFormat="1" ht="18.75" x14ac:dyDescent="0.2">
      <c r="A25" s="176"/>
      <c r="B25" s="190"/>
      <c r="C25" s="190"/>
      <c r="D25" s="190" t="s">
        <v>4468</v>
      </c>
      <c r="E25" s="190"/>
      <c r="F25" s="315"/>
      <c r="G25" s="316">
        <v>-43</v>
      </c>
      <c r="H25" s="315"/>
      <c r="I25" s="316">
        <v>-43</v>
      </c>
    </row>
    <row r="26" spans="1:12" s="20" customFormat="1" ht="18.75" x14ac:dyDescent="0.2">
      <c r="A26" s="176"/>
      <c r="B26" s="190"/>
      <c r="C26" s="190"/>
      <c r="D26" s="190" t="s">
        <v>4469</v>
      </c>
      <c r="E26" s="190"/>
      <c r="F26" s="315"/>
      <c r="G26" s="316">
        <v>0</v>
      </c>
      <c r="H26" s="315"/>
      <c r="I26" s="316">
        <v>-308</v>
      </c>
    </row>
    <row r="27" spans="1:12" s="20" customFormat="1" ht="18.75" x14ac:dyDescent="0.2">
      <c r="A27" s="176"/>
      <c r="B27" s="190"/>
      <c r="C27" s="190"/>
      <c r="D27" s="190"/>
      <c r="E27" s="190"/>
      <c r="F27" s="468"/>
      <c r="G27" s="192"/>
      <c r="H27" s="468"/>
      <c r="I27" s="192"/>
    </row>
    <row r="28" spans="1:12" s="20" customFormat="1" ht="26.25" customHeight="1" x14ac:dyDescent="0.2">
      <c r="A28" s="176"/>
      <c r="B28" s="161" t="s">
        <v>4470</v>
      </c>
      <c r="C28" s="467"/>
      <c r="D28" s="467"/>
      <c r="E28" s="467"/>
      <c r="F28" s="469"/>
      <c r="G28" s="170">
        <v>-54826</v>
      </c>
      <c r="H28" s="469"/>
      <c r="I28" s="170">
        <v>-113428</v>
      </c>
    </row>
    <row r="29" spans="1:12" s="20" customFormat="1" ht="18.75" x14ac:dyDescent="0.2">
      <c r="A29" s="176"/>
      <c r="B29" s="190"/>
      <c r="C29" s="190"/>
      <c r="D29" s="190"/>
      <c r="E29" s="190"/>
      <c r="F29" s="468"/>
      <c r="G29" s="192"/>
      <c r="H29" s="468"/>
      <c r="I29" s="192"/>
    </row>
    <row r="30" spans="1:12" s="20" customFormat="1" ht="26.25" customHeight="1" x14ac:dyDescent="0.2">
      <c r="A30" s="176"/>
      <c r="B30" s="161" t="s">
        <v>4471</v>
      </c>
      <c r="C30" s="467"/>
      <c r="D30" s="467"/>
      <c r="E30" s="467"/>
      <c r="F30" s="469"/>
      <c r="G30" s="202">
        <v>451822</v>
      </c>
      <c r="H30" s="469"/>
      <c r="I30" s="202">
        <v>417404</v>
      </c>
    </row>
    <row r="31" spans="1:12" s="20" customFormat="1" ht="18.75" x14ac:dyDescent="0.2">
      <c r="A31" s="176"/>
      <c r="B31" s="190"/>
      <c r="C31" s="190"/>
      <c r="D31" s="190" t="s">
        <v>7152</v>
      </c>
      <c r="E31" s="190"/>
      <c r="F31" s="469"/>
      <c r="G31" s="316">
        <v>450483</v>
      </c>
      <c r="H31" s="469"/>
      <c r="I31" s="316">
        <v>415413</v>
      </c>
    </row>
    <row r="32" spans="1:12" s="20" customFormat="1" ht="18.75" x14ac:dyDescent="0.2">
      <c r="A32" s="176"/>
      <c r="B32" s="190"/>
      <c r="C32" s="190"/>
      <c r="D32" s="190" t="s">
        <v>4472</v>
      </c>
      <c r="E32" s="190"/>
      <c r="F32" s="469"/>
      <c r="G32" s="316">
        <v>1339</v>
      </c>
      <c r="H32" s="469"/>
      <c r="I32" s="316">
        <v>1991</v>
      </c>
    </row>
    <row r="33" spans="1:9" s="20" customFormat="1" ht="18.75" x14ac:dyDescent="0.2">
      <c r="A33" s="176"/>
      <c r="B33" s="190"/>
      <c r="C33" s="190"/>
      <c r="D33" s="190"/>
      <c r="E33" s="190"/>
      <c r="F33" s="469"/>
      <c r="G33" s="140"/>
      <c r="H33" s="469"/>
      <c r="I33" s="140"/>
    </row>
    <row r="34" spans="1:9" s="20" customFormat="1" ht="26.25" customHeight="1" thickBot="1" x14ac:dyDescent="0.25">
      <c r="A34" s="176"/>
      <c r="B34" s="471" t="s">
        <v>4473</v>
      </c>
      <c r="C34" s="472"/>
      <c r="D34" s="472"/>
      <c r="E34" s="472"/>
      <c r="F34" s="469"/>
      <c r="G34" s="473">
        <v>396996</v>
      </c>
      <c r="H34" s="469"/>
      <c r="I34" s="474">
        <v>303977</v>
      </c>
    </row>
    <row r="35" spans="1:9" s="20" customFormat="1" ht="19.5" thickTop="1" x14ac:dyDescent="0.2">
      <c r="A35" s="176"/>
      <c r="B35" s="190"/>
      <c r="C35" s="190"/>
      <c r="D35" s="190"/>
      <c r="E35" s="190"/>
      <c r="F35" s="469"/>
      <c r="G35" s="192"/>
      <c r="H35" s="469"/>
      <c r="I35" s="192"/>
    </row>
    <row r="36" spans="1:9" s="20" customFormat="1" ht="26.25" customHeight="1" thickBot="1" x14ac:dyDescent="0.25">
      <c r="A36" s="176"/>
      <c r="B36" s="471" t="s">
        <v>4474</v>
      </c>
      <c r="C36" s="472"/>
      <c r="D36" s="472"/>
      <c r="E36" s="472"/>
      <c r="F36" s="469"/>
      <c r="G36" s="473">
        <v>396996</v>
      </c>
      <c r="H36" s="469"/>
      <c r="I36" s="474">
        <v>303977</v>
      </c>
    </row>
    <row r="37" spans="1:9" s="20" customFormat="1" ht="19.5" thickTop="1" x14ac:dyDescent="0.2">
      <c r="A37" s="176"/>
      <c r="B37" s="468"/>
      <c r="C37" s="468"/>
      <c r="D37" s="190" t="s">
        <v>7153</v>
      </c>
      <c r="E37" s="468"/>
      <c r="F37" s="469"/>
      <c r="G37" s="316">
        <v>290091</v>
      </c>
      <c r="H37" s="469"/>
      <c r="I37" s="316">
        <v>249618</v>
      </c>
    </row>
    <row r="38" spans="1:9" s="20" customFormat="1" ht="18.75" x14ac:dyDescent="0.2">
      <c r="A38" s="176"/>
      <c r="B38" s="190"/>
      <c r="C38" s="190"/>
      <c r="D38" s="190" t="s">
        <v>4475</v>
      </c>
      <c r="E38" s="190"/>
      <c r="F38" s="315"/>
      <c r="G38" s="316">
        <v>42678</v>
      </c>
      <c r="H38" s="315"/>
      <c r="I38" s="316">
        <v>39357</v>
      </c>
    </row>
    <row r="39" spans="1:9" s="20" customFormat="1" ht="18.75" x14ac:dyDescent="0.2">
      <c r="A39" s="176"/>
      <c r="B39" s="190"/>
      <c r="C39" s="190"/>
      <c r="D39" s="190" t="s">
        <v>4476</v>
      </c>
      <c r="E39" s="190"/>
      <c r="F39" s="315"/>
      <c r="G39" s="316">
        <v>49263</v>
      </c>
      <c r="H39" s="315"/>
      <c r="I39" s="316">
        <v>4593</v>
      </c>
    </row>
    <row r="40" spans="1:9" s="20" customFormat="1" ht="18.75" x14ac:dyDescent="0.2">
      <c r="A40" s="176"/>
      <c r="B40" s="190"/>
      <c r="C40" s="190"/>
      <c r="D40" s="190" t="s">
        <v>7155</v>
      </c>
      <c r="E40" s="190"/>
      <c r="F40" s="190"/>
      <c r="G40" s="316">
        <v>17111</v>
      </c>
      <c r="H40" s="190"/>
      <c r="I40" s="316">
        <v>7830</v>
      </c>
    </row>
    <row r="41" spans="1:9" s="20" customFormat="1" ht="18.75" x14ac:dyDescent="0.2">
      <c r="A41" s="176"/>
      <c r="B41" s="190"/>
      <c r="C41" s="190"/>
      <c r="D41" s="190" t="s">
        <v>4477</v>
      </c>
      <c r="E41" s="190"/>
      <c r="F41" s="315"/>
      <c r="G41" s="316">
        <v>1940</v>
      </c>
      <c r="H41" s="315"/>
      <c r="I41" s="316">
        <v>2547</v>
      </c>
    </row>
    <row r="42" spans="1:9" s="23" customFormat="1" ht="18.75" x14ac:dyDescent="0.2">
      <c r="A42" s="207"/>
      <c r="B42" s="475"/>
      <c r="C42" s="475"/>
      <c r="D42" s="475" t="s">
        <v>4478</v>
      </c>
      <c r="E42" s="190"/>
      <c r="F42" s="315"/>
      <c r="G42" s="316">
        <v>-4087</v>
      </c>
      <c r="H42" s="315"/>
      <c r="I42" s="316">
        <v>32</v>
      </c>
    </row>
    <row r="43" spans="1:9" s="20" customFormat="1" x14ac:dyDescent="0.2">
      <c r="G43" s="30"/>
      <c r="I43" s="21"/>
    </row>
    <row r="44" spans="1:9" x14ac:dyDescent="0.25">
      <c r="F44" s="59"/>
      <c r="G44" s="59"/>
      <c r="H44" s="59"/>
      <c r="I44" s="31"/>
    </row>
    <row r="45" spans="1:9" x14ac:dyDescent="0.25">
      <c r="F45" s="59"/>
      <c r="G45" s="59"/>
      <c r="H45" s="59"/>
      <c r="I45" s="31"/>
    </row>
    <row r="46" spans="1:9" x14ac:dyDescent="0.25">
      <c r="F46" s="59"/>
      <c r="G46" s="59"/>
      <c r="H46" s="59"/>
      <c r="I46" s="31"/>
    </row>
    <row r="47" spans="1:9" x14ac:dyDescent="0.25">
      <c r="F47" s="31"/>
      <c r="G47" s="31"/>
      <c r="H47" s="31"/>
      <c r="I47" s="31"/>
    </row>
    <row r="48" spans="1:9" x14ac:dyDescent="0.25">
      <c r="F48" s="31"/>
      <c r="G48" s="31"/>
      <c r="H48" s="31"/>
      <c r="I48" s="16"/>
    </row>
    <row r="49" spans="5:9" x14ac:dyDescent="0.25">
      <c r="F49" s="31"/>
      <c r="G49" s="31"/>
      <c r="H49" s="31"/>
      <c r="I49" s="16"/>
    </row>
    <row r="50" spans="5:9" x14ac:dyDescent="0.25">
      <c r="F50" s="31"/>
      <c r="G50" s="31"/>
      <c r="H50" s="31"/>
      <c r="I50" s="16"/>
    </row>
    <row r="51" spans="5:9" x14ac:dyDescent="0.25">
      <c r="I51" s="16"/>
    </row>
    <row r="52" spans="5:9" x14ac:dyDescent="0.25">
      <c r="I52" s="16"/>
    </row>
    <row r="53" spans="5:9" x14ac:dyDescent="0.25">
      <c r="I53" s="16"/>
    </row>
    <row r="54" spans="5:9" x14ac:dyDescent="0.25">
      <c r="F54" s="16"/>
      <c r="G54" s="16"/>
      <c r="H54" s="16"/>
      <c r="I54" s="16"/>
    </row>
    <row r="55" spans="5:9" x14ac:dyDescent="0.25">
      <c r="F55" s="16"/>
      <c r="G55" s="16"/>
      <c r="H55" s="16"/>
      <c r="I55" s="16"/>
    </row>
    <row r="56" spans="5:9" x14ac:dyDescent="0.25">
      <c r="E56" s="27"/>
    </row>
    <row r="57" spans="5:9" x14ac:dyDescent="0.25">
      <c r="E57" s="27"/>
    </row>
    <row r="425" spans="3:4" x14ac:dyDescent="0.25">
      <c r="C425" s="11" t="s">
        <v>5971</v>
      </c>
    </row>
    <row r="428" spans="3:4" x14ac:dyDescent="0.25">
      <c r="D428" s="11" t="s">
        <v>5547</v>
      </c>
    </row>
    <row r="429" spans="3:4" x14ac:dyDescent="0.25">
      <c r="D429" s="11" t="s">
        <v>4519</v>
      </c>
    </row>
    <row r="430" spans="3:4" x14ac:dyDescent="0.25">
      <c r="D430" s="11" t="s">
        <v>4520</v>
      </c>
    </row>
    <row r="431" spans="3:4" x14ac:dyDescent="0.25">
      <c r="D431" s="11" t="s">
        <v>4521</v>
      </c>
    </row>
    <row r="432" spans="3:4" x14ac:dyDescent="0.25">
      <c r="D432" s="11" t="s">
        <v>5972</v>
      </c>
    </row>
    <row r="433" spans="3:4" x14ac:dyDescent="0.25">
      <c r="D433" s="11" t="s">
        <v>5973</v>
      </c>
    </row>
    <row r="440" spans="3:4" x14ac:dyDescent="0.25">
      <c r="C440" s="11" t="s">
        <v>5970</v>
      </c>
    </row>
    <row r="606" spans="1:1" x14ac:dyDescent="0.25">
      <c r="A606" s="11">
        <v>34</v>
      </c>
    </row>
    <row r="614" spans="1:1" x14ac:dyDescent="0.25">
      <c r="A614" s="11">
        <v>35</v>
      </c>
    </row>
    <row r="635" ht="85.5" customHeight="1" x14ac:dyDescent="0.25"/>
  </sheetData>
  <mergeCells count="7">
    <mergeCell ref="B9:I9"/>
    <mergeCell ref="B3:I3"/>
    <mergeCell ref="B4:I4"/>
    <mergeCell ref="B5:I5"/>
    <mergeCell ref="B6:I6"/>
    <mergeCell ref="B7:I7"/>
    <mergeCell ref="B8:I8"/>
  </mergeCells>
  <pageMargins left="0.25" right="0.25" top="0.61111111111111105" bottom="0.61111111111111105" header="0.3" footer="0.3"/>
  <pageSetup paperSize="9" scale="77" fitToHeight="0" orientation="portrait"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DDF08-F504-43A5-AF97-E46172204E78}">
  <sheetPr>
    <tabColor rgb="FFFFFF00"/>
    <pageSetUpPr fitToPage="1"/>
  </sheetPr>
  <dimension ref="A1:X658"/>
  <sheetViews>
    <sheetView showGridLines="0" zoomScaleNormal="100" workbookViewId="0">
      <selection activeCell="M16" sqref="M16"/>
    </sheetView>
  </sheetViews>
  <sheetFormatPr defaultColWidth="9.140625" defaultRowHeight="15.75" x14ac:dyDescent="0.25"/>
  <cols>
    <col min="1" max="1" width="65.28515625" style="26" customWidth="1"/>
    <col min="2" max="2" width="7.42578125" style="26" customWidth="1"/>
    <col min="3" max="6" width="26.42578125" style="26" customWidth="1"/>
    <col min="7" max="7" width="30.7109375" style="32" customWidth="1"/>
    <col min="8" max="9" width="26.42578125" style="26" customWidth="1"/>
    <col min="10" max="16384" width="9.140625" style="26"/>
  </cols>
  <sheetData>
    <row r="1" spans="1:9" ht="18.75" customHeight="1" x14ac:dyDescent="0.25">
      <c r="A1" s="947"/>
      <c r="B1" s="947"/>
      <c r="C1" s="947"/>
      <c r="D1" s="947"/>
      <c r="E1" s="947"/>
      <c r="F1" s="947"/>
      <c r="G1" s="947"/>
      <c r="H1" s="947"/>
      <c r="I1" s="947"/>
    </row>
    <row r="2" spans="1:9" s="29" customFormat="1" ht="18.75" customHeight="1" x14ac:dyDescent="0.2">
      <c r="A2" s="947" t="s">
        <v>4486</v>
      </c>
      <c r="B2" s="947"/>
      <c r="C2" s="947"/>
      <c r="D2" s="947"/>
      <c r="E2" s="947"/>
      <c r="F2" s="947"/>
      <c r="G2" s="947"/>
      <c r="H2" s="947"/>
      <c r="I2" s="947"/>
    </row>
    <row r="3" spans="1:9" s="29" customFormat="1" ht="18.75" customHeight="1" x14ac:dyDescent="0.2">
      <c r="A3" s="947" t="s">
        <v>7309</v>
      </c>
      <c r="B3" s="947"/>
      <c r="C3" s="947"/>
      <c r="D3" s="947"/>
      <c r="E3" s="947"/>
      <c r="F3" s="947"/>
      <c r="G3" s="947"/>
      <c r="H3" s="947"/>
      <c r="I3" s="947"/>
    </row>
    <row r="4" spans="1:9" s="29" customFormat="1" ht="18.75" customHeight="1" x14ac:dyDescent="0.2">
      <c r="A4" s="947"/>
      <c r="B4" s="947"/>
      <c r="C4" s="947"/>
      <c r="D4" s="947"/>
      <c r="E4" s="947"/>
      <c r="F4" s="947"/>
      <c r="G4" s="947"/>
      <c r="H4" s="947"/>
      <c r="I4" s="947"/>
    </row>
    <row r="5" spans="1:9" s="29" customFormat="1" ht="18.75" customHeight="1" x14ac:dyDescent="0.2">
      <c r="A5" s="947" t="s">
        <v>4479</v>
      </c>
      <c r="B5" s="947"/>
      <c r="C5" s="947"/>
      <c r="D5" s="947"/>
      <c r="E5" s="947"/>
      <c r="F5" s="947"/>
      <c r="G5" s="947"/>
      <c r="H5" s="947"/>
      <c r="I5" s="947"/>
    </row>
    <row r="6" spans="1:9" s="29" customFormat="1" ht="18.75" customHeight="1" x14ac:dyDescent="0.2">
      <c r="A6" s="947"/>
      <c r="B6" s="947"/>
      <c r="C6" s="947"/>
      <c r="D6" s="947"/>
      <c r="E6" s="947"/>
      <c r="F6" s="947"/>
      <c r="G6" s="947"/>
      <c r="H6" s="947"/>
      <c r="I6" s="947"/>
    </row>
    <row r="7" spans="1:9" s="29" customFormat="1" ht="18.75" customHeight="1" x14ac:dyDescent="0.2">
      <c r="A7" s="947"/>
      <c r="B7" s="947"/>
      <c r="C7" s="947"/>
      <c r="D7" s="947"/>
      <c r="E7" s="947"/>
      <c r="F7" s="947"/>
      <c r="G7" s="947"/>
      <c r="H7" s="947"/>
      <c r="I7" s="947"/>
    </row>
    <row r="8" spans="1:9" s="29" customFormat="1" ht="18.75" customHeight="1" x14ac:dyDescent="0.2">
      <c r="A8" s="908"/>
      <c r="B8" s="908"/>
      <c r="C8" s="908"/>
      <c r="D8" s="908"/>
      <c r="E8" s="908"/>
      <c r="F8" s="908"/>
      <c r="G8" s="908"/>
      <c r="H8" s="908"/>
      <c r="I8" s="908"/>
    </row>
    <row r="9" spans="1:9" s="29" customFormat="1" ht="18.75" customHeight="1" x14ac:dyDescent="0.2">
      <c r="A9" s="318"/>
      <c r="B9" s="318"/>
      <c r="C9" s="280"/>
      <c r="D9" s="319"/>
      <c r="E9" s="319"/>
      <c r="F9" s="319"/>
      <c r="G9" s="320"/>
      <c r="H9" s="319"/>
      <c r="I9" s="321" t="s">
        <v>4380</v>
      </c>
    </row>
    <row r="10" spans="1:9" s="28" customFormat="1" ht="68.25" customHeight="1" x14ac:dyDescent="0.2">
      <c r="A10" s="322" t="s">
        <v>7312</v>
      </c>
      <c r="B10" s="323" t="s">
        <v>4480</v>
      </c>
      <c r="C10" s="323" t="s">
        <v>4407</v>
      </c>
      <c r="D10" s="317" t="s">
        <v>6899</v>
      </c>
      <c r="E10" s="317" t="s">
        <v>6900</v>
      </c>
      <c r="F10" s="317" t="s">
        <v>4481</v>
      </c>
      <c r="G10" s="325" t="s">
        <v>2803</v>
      </c>
      <c r="H10" s="317" t="s">
        <v>4409</v>
      </c>
      <c r="I10" s="326" t="s">
        <v>4358</v>
      </c>
    </row>
    <row r="11" spans="1:9" ht="4.5" customHeight="1" x14ac:dyDescent="0.25">
      <c r="A11" s="306"/>
      <c r="B11" s="327"/>
      <c r="C11" s="327"/>
      <c r="D11" s="306"/>
      <c r="E11" s="306"/>
      <c r="F11" s="327"/>
      <c r="G11" s="328"/>
      <c r="H11" s="327"/>
      <c r="I11" s="306"/>
    </row>
    <row r="12" spans="1:9" s="61" customFormat="1" ht="19.5" thickBot="1" x14ac:dyDescent="0.3">
      <c r="A12" s="329" t="s">
        <v>4530</v>
      </c>
      <c r="B12" s="330"/>
      <c r="C12" s="330">
        <v>63114</v>
      </c>
      <c r="D12" s="331">
        <v>0</v>
      </c>
      <c r="E12" s="331">
        <v>0</v>
      </c>
      <c r="F12" s="330">
        <v>15736</v>
      </c>
      <c r="G12" s="331">
        <v>159864</v>
      </c>
      <c r="H12" s="330">
        <v>18252</v>
      </c>
      <c r="I12" s="331">
        <v>256966</v>
      </c>
    </row>
    <row r="13" spans="1:9" ht="6.75" customHeight="1" thickTop="1" x14ac:dyDescent="0.25">
      <c r="A13" s="62"/>
      <c r="B13" s="63"/>
      <c r="C13" s="332"/>
      <c r="D13" s="333"/>
      <c r="E13" s="333"/>
      <c r="F13" s="334"/>
      <c r="G13" s="333"/>
      <c r="H13" s="332"/>
      <c r="I13" s="333"/>
    </row>
    <row r="14" spans="1:9" ht="18.75" customHeight="1" x14ac:dyDescent="0.25">
      <c r="A14" s="102" t="s">
        <v>4482</v>
      </c>
      <c r="B14" s="64"/>
      <c r="C14" s="334">
        <v>0</v>
      </c>
      <c r="D14" s="335">
        <v>0</v>
      </c>
      <c r="E14" s="335">
        <v>0</v>
      </c>
      <c r="F14" s="334">
        <v>-1231</v>
      </c>
      <c r="G14" s="335">
        <v>0</v>
      </c>
      <c r="H14" s="335">
        <v>1231</v>
      </c>
      <c r="I14" s="335">
        <v>0</v>
      </c>
    </row>
    <row r="15" spans="1:9" ht="18.75" hidden="1" x14ac:dyDescent="0.25">
      <c r="A15" s="102" t="s">
        <v>4613</v>
      </c>
      <c r="B15" s="64"/>
      <c r="C15" s="334">
        <v>0</v>
      </c>
      <c r="D15" s="334">
        <v>0</v>
      </c>
      <c r="E15" s="334">
        <v>0</v>
      </c>
      <c r="F15" s="334">
        <v>0</v>
      </c>
      <c r="G15" s="334">
        <v>0</v>
      </c>
      <c r="H15" s="334">
        <v>0</v>
      </c>
      <c r="I15" s="334">
        <v>0</v>
      </c>
    </row>
    <row r="16" spans="1:9" ht="18.75" x14ac:dyDescent="0.25">
      <c r="A16" s="102" t="s">
        <v>7347</v>
      </c>
      <c r="B16" s="64"/>
      <c r="C16" s="334">
        <v>0</v>
      </c>
      <c r="D16" s="335">
        <v>18540</v>
      </c>
      <c r="E16" s="335">
        <v>0</v>
      </c>
      <c r="F16" s="334">
        <v>0</v>
      </c>
      <c r="G16" s="335">
        <v>0</v>
      </c>
      <c r="H16" s="335">
        <v>-18539.509999999998</v>
      </c>
      <c r="I16" s="335"/>
    </row>
    <row r="17" spans="1:9" ht="18.75" customHeight="1" x14ac:dyDescent="0.25">
      <c r="A17" s="102" t="s">
        <v>7348</v>
      </c>
      <c r="B17" s="64"/>
      <c r="C17" s="334">
        <v>0</v>
      </c>
      <c r="D17" s="335">
        <v>0</v>
      </c>
      <c r="E17" s="335">
        <v>975.76346999999998</v>
      </c>
      <c r="F17" s="334">
        <v>0</v>
      </c>
      <c r="G17" s="335"/>
      <c r="H17" s="334">
        <v>-975.76346999999998</v>
      </c>
      <c r="I17" s="335">
        <v>0</v>
      </c>
    </row>
    <row r="18" spans="1:9" ht="18.75" customHeight="1" x14ac:dyDescent="0.25">
      <c r="A18" s="102" t="s">
        <v>4484</v>
      </c>
      <c r="B18" s="64"/>
      <c r="C18" s="334">
        <v>0</v>
      </c>
      <c r="D18" s="335">
        <v>0</v>
      </c>
      <c r="E18" s="335">
        <v>0</v>
      </c>
      <c r="F18" s="334">
        <v>0</v>
      </c>
      <c r="G18" s="335"/>
      <c r="H18" s="334">
        <v>32</v>
      </c>
      <c r="I18" s="335">
        <v>32</v>
      </c>
    </row>
    <row r="19" spans="1:9" ht="19.5" thickBot="1" x14ac:dyDescent="0.3">
      <c r="A19" s="329" t="s">
        <v>7346</v>
      </c>
      <c r="B19" s="330"/>
      <c r="C19" s="330">
        <v>63114</v>
      </c>
      <c r="D19" s="330">
        <v>18540</v>
      </c>
      <c r="E19" s="330">
        <v>976</v>
      </c>
      <c r="F19" s="330">
        <v>14505</v>
      </c>
      <c r="G19" s="330">
        <v>159864</v>
      </c>
      <c r="H19" s="330">
        <v>0</v>
      </c>
      <c r="I19" s="330">
        <v>256999</v>
      </c>
    </row>
    <row r="20" spans="1:9" ht="16.5" thickTop="1" x14ac:dyDescent="0.25">
      <c r="B20" s="65"/>
      <c r="C20" s="66"/>
      <c r="D20" s="61"/>
      <c r="E20" s="61"/>
      <c r="F20" s="66"/>
      <c r="G20" s="61"/>
      <c r="H20" s="66"/>
      <c r="I20" s="61"/>
    </row>
    <row r="21" spans="1:9" ht="23.25" customHeight="1" x14ac:dyDescent="0.25">
      <c r="B21" s="65"/>
      <c r="C21" s="66"/>
      <c r="D21" s="61"/>
      <c r="E21" s="61"/>
      <c r="F21" s="66"/>
      <c r="G21" s="61"/>
      <c r="H21" s="66"/>
      <c r="I21" s="61"/>
    </row>
    <row r="22" spans="1:9" ht="23.25" customHeight="1" x14ac:dyDescent="0.25">
      <c r="B22" s="65"/>
      <c r="C22" s="66"/>
      <c r="D22" s="61"/>
      <c r="E22" s="61"/>
      <c r="F22" s="66"/>
      <c r="G22" s="61"/>
      <c r="H22" s="66"/>
      <c r="I22" s="61"/>
    </row>
    <row r="23" spans="1:9" ht="23.25" customHeight="1" x14ac:dyDescent="0.25">
      <c r="B23" s="65"/>
      <c r="C23" s="66"/>
      <c r="D23" s="61"/>
      <c r="E23" s="61"/>
      <c r="F23" s="66"/>
      <c r="G23" s="61"/>
      <c r="H23" s="66"/>
      <c r="I23" s="61"/>
    </row>
    <row r="24" spans="1:9" ht="23.25" customHeight="1" x14ac:dyDescent="0.25">
      <c r="B24" s="65"/>
      <c r="C24" s="66"/>
      <c r="D24" s="61"/>
      <c r="E24" s="61"/>
      <c r="F24" s="66"/>
      <c r="G24" s="61"/>
      <c r="H24" s="66"/>
      <c r="I24" s="61"/>
    </row>
    <row r="25" spans="1:9" s="28" customFormat="1" ht="68.25" customHeight="1" x14ac:dyDescent="0.2">
      <c r="A25" s="322" t="s">
        <v>7310</v>
      </c>
      <c r="B25" s="323" t="s">
        <v>4480</v>
      </c>
      <c r="C25" s="323" t="s">
        <v>4407</v>
      </c>
      <c r="D25" s="317" t="s">
        <v>6899</v>
      </c>
      <c r="E25" s="317" t="s">
        <v>6900</v>
      </c>
      <c r="F25" s="317" t="s">
        <v>4481</v>
      </c>
      <c r="G25" s="325" t="s">
        <v>2803</v>
      </c>
      <c r="H25" s="317" t="s">
        <v>4409</v>
      </c>
      <c r="I25" s="326" t="s">
        <v>4358</v>
      </c>
    </row>
    <row r="26" spans="1:9" ht="4.5" customHeight="1" x14ac:dyDescent="0.25">
      <c r="B26" s="65"/>
      <c r="C26" s="67"/>
      <c r="D26" s="68"/>
      <c r="E26" s="68"/>
      <c r="F26" s="67"/>
      <c r="G26" s="68"/>
      <c r="H26" s="67"/>
      <c r="I26" s="68"/>
    </row>
    <row r="27" spans="1:9" s="61" customFormat="1" ht="19.5" thickBot="1" x14ac:dyDescent="0.3">
      <c r="A27" s="329" t="s">
        <v>7011</v>
      </c>
      <c r="B27" s="330"/>
      <c r="C27" s="330">
        <v>63114</v>
      </c>
      <c r="D27" s="331">
        <v>18540</v>
      </c>
      <c r="E27" s="331">
        <v>976</v>
      </c>
      <c r="F27" s="330">
        <v>14505</v>
      </c>
      <c r="G27" s="331">
        <v>159864</v>
      </c>
      <c r="H27" s="330">
        <v>0</v>
      </c>
      <c r="I27" s="330">
        <v>256999</v>
      </c>
    </row>
    <row r="28" spans="1:9" ht="6.75" customHeight="1" thickTop="1" x14ac:dyDescent="0.25">
      <c r="B28" s="65"/>
      <c r="C28" s="340"/>
      <c r="D28" s="341"/>
      <c r="E28" s="341"/>
      <c r="F28" s="340"/>
      <c r="G28" s="341"/>
      <c r="H28" s="340"/>
      <c r="I28" s="341"/>
    </row>
    <row r="29" spans="1:9" ht="18.75" customHeight="1" x14ac:dyDescent="0.25">
      <c r="A29" s="102" t="s">
        <v>4482</v>
      </c>
      <c r="B29" s="64"/>
      <c r="C29" s="334">
        <v>0</v>
      </c>
      <c r="D29" s="335"/>
      <c r="E29" s="335"/>
      <c r="F29" s="334">
        <v>-1231.04</v>
      </c>
      <c r="G29" s="335"/>
      <c r="H29" s="334">
        <v>1231.04</v>
      </c>
      <c r="I29" s="335">
        <v>0</v>
      </c>
    </row>
    <row r="30" spans="1:9" ht="18.75" hidden="1" x14ac:dyDescent="0.25">
      <c r="A30" s="336" t="s">
        <v>4613</v>
      </c>
      <c r="B30" s="337"/>
      <c r="C30" s="338"/>
      <c r="D30" s="339"/>
      <c r="E30" s="339"/>
      <c r="F30" s="338"/>
      <c r="G30" s="339"/>
      <c r="H30" s="338"/>
      <c r="I30" s="339">
        <v>0</v>
      </c>
    </row>
    <row r="31" spans="1:9" ht="18.75" x14ac:dyDescent="0.25">
      <c r="A31" s="102" t="s">
        <v>7345</v>
      </c>
      <c r="B31" s="64"/>
      <c r="C31" s="334">
        <v>0</v>
      </c>
      <c r="D31" s="334">
        <v>-2856</v>
      </c>
      <c r="E31" s="334"/>
      <c r="F31" s="334"/>
      <c r="G31" s="335"/>
      <c r="H31" s="334">
        <v>2856</v>
      </c>
      <c r="I31" s="335">
        <v>0</v>
      </c>
    </row>
    <row r="32" spans="1:9" ht="18.75" customHeight="1" x14ac:dyDescent="0.25">
      <c r="A32" s="102" t="s">
        <v>4484</v>
      </c>
      <c r="B32" s="64"/>
      <c r="C32" s="334">
        <v>0</v>
      </c>
      <c r="D32" s="335"/>
      <c r="E32" s="335"/>
      <c r="F32" s="334"/>
      <c r="G32" s="335"/>
      <c r="H32" s="334">
        <v>-4087</v>
      </c>
      <c r="I32" s="335">
        <v>-4087</v>
      </c>
    </row>
    <row r="33" spans="1:9" ht="19.5" thickBot="1" x14ac:dyDescent="0.3">
      <c r="A33" s="329" t="s">
        <v>7316</v>
      </c>
      <c r="B33" s="330"/>
      <c r="C33" s="330">
        <v>63114</v>
      </c>
      <c r="D33" s="330">
        <v>15684</v>
      </c>
      <c r="E33" s="330">
        <v>976</v>
      </c>
      <c r="F33" s="330">
        <v>13273.96</v>
      </c>
      <c r="G33" s="330">
        <v>159864</v>
      </c>
      <c r="H33" s="909">
        <v>0</v>
      </c>
      <c r="I33" s="330">
        <v>252912</v>
      </c>
    </row>
    <row r="34" spans="1:9" ht="16.5" thickTop="1" x14ac:dyDescent="0.25">
      <c r="G34" s="26"/>
      <c r="H34" s="46"/>
    </row>
    <row r="35" spans="1:9" x14ac:dyDescent="0.25">
      <c r="H35" s="46"/>
      <c r="I35" s="307" t="s">
        <v>5025</v>
      </c>
    </row>
    <row r="36" spans="1:9" ht="15.75" customHeight="1" x14ac:dyDescent="0.25"/>
    <row r="37" spans="1:9" x14ac:dyDescent="0.25">
      <c r="G37" s="26"/>
      <c r="I37" s="90"/>
    </row>
    <row r="38" spans="1:9" x14ac:dyDescent="0.25">
      <c r="D38" s="90"/>
      <c r="E38" s="90"/>
      <c r="G38" s="26"/>
    </row>
    <row r="39" spans="1:9" x14ac:dyDescent="0.25">
      <c r="D39" s="90"/>
      <c r="E39" s="90"/>
      <c r="G39" s="46"/>
    </row>
    <row r="40" spans="1:9" ht="18" customHeight="1" x14ac:dyDescent="0.25">
      <c r="C40" s="26" t="s">
        <v>4379</v>
      </c>
      <c r="D40" s="90"/>
      <c r="E40" s="90"/>
      <c r="F40" s="26" t="s">
        <v>4379</v>
      </c>
      <c r="G40" s="26"/>
    </row>
    <row r="41" spans="1:9" x14ac:dyDescent="0.25">
      <c r="D41" s="90"/>
      <c r="E41" s="90"/>
      <c r="G41" s="26"/>
    </row>
    <row r="42" spans="1:9" x14ac:dyDescent="0.25">
      <c r="D42" s="48"/>
      <c r="E42" s="48"/>
      <c r="G42" s="26"/>
    </row>
    <row r="43" spans="1:9" x14ac:dyDescent="0.25">
      <c r="G43" s="26"/>
    </row>
    <row r="44" spans="1:9" x14ac:dyDescent="0.25">
      <c r="G44" s="26"/>
    </row>
    <row r="45" spans="1:9" x14ac:dyDescent="0.25">
      <c r="G45" s="26"/>
    </row>
    <row r="50" spans="1:9" x14ac:dyDescent="0.25">
      <c r="F50" s="715">
        <v>-3.999999999996362E-2</v>
      </c>
    </row>
    <row r="51" spans="1:9" x14ac:dyDescent="0.25">
      <c r="H51" s="715">
        <v>2856</v>
      </c>
    </row>
    <row r="53" spans="1:9" x14ac:dyDescent="0.25">
      <c r="A53" s="715"/>
      <c r="B53" s="715"/>
      <c r="C53" s="715">
        <v>0</v>
      </c>
      <c r="D53" s="715">
        <v>0</v>
      </c>
      <c r="E53" s="715">
        <v>0</v>
      </c>
      <c r="F53" s="715">
        <v>-4.0000000000873115E-2</v>
      </c>
      <c r="G53" s="715">
        <v>0</v>
      </c>
      <c r="H53" s="715">
        <v>0</v>
      </c>
      <c r="I53" s="715">
        <v>0</v>
      </c>
    </row>
    <row r="78" spans="1:24" s="32" customFormat="1" x14ac:dyDescent="0.25">
      <c r="A78" s="26"/>
      <c r="B78" s="26"/>
      <c r="C78" s="26"/>
      <c r="D78" s="26"/>
      <c r="E78" s="26"/>
      <c r="F78" s="26"/>
      <c r="H78" s="26"/>
      <c r="I78" s="26"/>
      <c r="J78" s="26"/>
      <c r="K78" s="26"/>
      <c r="L78" s="26"/>
      <c r="M78" s="26"/>
      <c r="N78" s="26"/>
      <c r="O78" s="26"/>
      <c r="P78" s="26"/>
      <c r="Q78" s="26"/>
      <c r="R78" s="26"/>
      <c r="S78" s="26"/>
      <c r="T78" s="26"/>
      <c r="U78" s="26"/>
      <c r="V78" s="26"/>
      <c r="W78" s="26"/>
      <c r="X78" s="26"/>
    </row>
    <row r="81" spans="1:24" s="32" customFormat="1" x14ac:dyDescent="0.25">
      <c r="A81" s="26"/>
      <c r="B81" s="47"/>
      <c r="C81" s="26"/>
      <c r="D81" s="26"/>
      <c r="E81" s="26"/>
      <c r="F81" s="26"/>
      <c r="H81" s="26"/>
      <c r="I81" s="26"/>
      <c r="J81" s="26"/>
      <c r="K81" s="26"/>
      <c r="L81" s="26"/>
      <c r="M81" s="26"/>
      <c r="N81" s="26"/>
      <c r="O81" s="26"/>
      <c r="P81" s="26"/>
      <c r="Q81" s="26"/>
      <c r="R81" s="26"/>
      <c r="S81" s="26"/>
      <c r="T81" s="26"/>
      <c r="U81" s="26"/>
      <c r="V81" s="26"/>
      <c r="W81" s="26"/>
      <c r="X81" s="26"/>
    </row>
    <row r="82" spans="1:24" s="32" customFormat="1" x14ac:dyDescent="0.25">
      <c r="A82" s="26"/>
      <c r="B82" s="26"/>
      <c r="C82" s="26"/>
      <c r="D82" s="26"/>
      <c r="E82" s="26"/>
      <c r="F82" s="26"/>
      <c r="H82" s="26"/>
      <c r="I82" s="26"/>
      <c r="J82" s="26"/>
      <c r="K82" s="26"/>
      <c r="L82" s="26"/>
      <c r="M82" s="26"/>
      <c r="N82" s="26"/>
      <c r="O82" s="26"/>
      <c r="P82" s="26"/>
      <c r="Q82" s="26"/>
      <c r="R82" s="26"/>
      <c r="S82" s="26"/>
      <c r="T82" s="26"/>
      <c r="U82" s="26"/>
      <c r="V82" s="26"/>
      <c r="W82" s="26"/>
      <c r="X82" s="26"/>
    </row>
    <row r="437" spans="1:2" x14ac:dyDescent="0.25">
      <c r="A437" s="26" t="s">
        <v>5971</v>
      </c>
    </row>
    <row r="440" spans="1:2" x14ac:dyDescent="0.25">
      <c r="B440" s="26" t="s">
        <v>5547</v>
      </c>
    </row>
    <row r="441" spans="1:2" x14ac:dyDescent="0.25">
      <c r="B441" s="26" t="s">
        <v>4519</v>
      </c>
    </row>
    <row r="442" spans="1:2" x14ac:dyDescent="0.25">
      <c r="B442" s="26" t="s">
        <v>4520</v>
      </c>
    </row>
    <row r="443" spans="1:2" x14ac:dyDescent="0.25">
      <c r="B443" s="26" t="s">
        <v>4521</v>
      </c>
    </row>
    <row r="444" spans="1:2" x14ac:dyDescent="0.25">
      <c r="B444" s="26" t="s">
        <v>5972</v>
      </c>
    </row>
    <row r="445" spans="1:2" x14ac:dyDescent="0.25">
      <c r="B445" s="26" t="s">
        <v>5973</v>
      </c>
    </row>
    <row r="452" spans="1:1" x14ac:dyDescent="0.25">
      <c r="A452" s="26" t="s">
        <v>5970</v>
      </c>
    </row>
    <row r="658" ht="85.5" customHeight="1" x14ac:dyDescent="0.25"/>
  </sheetData>
  <mergeCells count="7">
    <mergeCell ref="A7:I7"/>
    <mergeCell ref="A1:I1"/>
    <mergeCell ref="A2:I2"/>
    <mergeCell ref="A3:I3"/>
    <mergeCell ref="A4:I4"/>
    <mergeCell ref="A5:I5"/>
    <mergeCell ref="A6:I6"/>
  </mergeCells>
  <pageMargins left="0.25" right="0.25" top="0.61111111111111105" bottom="0.61111111111111105" header="0.3" footer="0.3"/>
  <pageSetup paperSize="9" scale="55" orientation="landscape" r:id="rId1"/>
  <headerFooter>
    <oddHeader>&amp;C&amp;G</oddHeader>
    <oddFooter xml:space="preserve">&amp;LAv. Gal. Euclydes de Oliveira Figueiredo, 200 - Brisamar - Itaguaí – RJ, Cep: 23825-410
+55 21 3781-4303  |  www.nuclep.gov.br  |  presidencia@nuclep.gov.br
</oddFooter>
  </headerFooter>
  <legacyDrawingHF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573F-D037-4666-8203-3E12BBAAA596}">
  <sheetPr>
    <tabColor rgb="FF00B050"/>
  </sheetPr>
  <dimension ref="A1:CY741"/>
  <sheetViews>
    <sheetView showGridLines="0" topLeftCell="A116" zoomScaleNormal="100" workbookViewId="0"/>
  </sheetViews>
  <sheetFormatPr defaultRowHeight="15.75" x14ac:dyDescent="0.25"/>
  <cols>
    <col min="1" max="1" width="2.42578125" customWidth="1"/>
    <col min="2" max="2" width="61.5703125" style="76" customWidth="1"/>
    <col min="3" max="3" width="1.28515625" style="76" customWidth="1"/>
    <col min="4" max="4" width="16.28515625" style="76" customWidth="1"/>
    <col min="5" max="5" width="1.28515625" style="76" customWidth="1"/>
    <col min="6" max="6" width="16.28515625" style="76" customWidth="1"/>
    <col min="7" max="7" width="1.28515625" style="76" customWidth="1"/>
    <col min="8" max="8" width="2" style="76" customWidth="1"/>
    <col min="9" max="10" width="10.7109375" style="76" customWidth="1"/>
    <col min="11" max="11" width="34" style="76" customWidth="1"/>
    <col min="12" max="12" width="12.7109375" bestFit="1" customWidth="1"/>
    <col min="13" max="13" width="23.5703125" bestFit="1" customWidth="1"/>
    <col min="14" max="14" width="21.42578125" customWidth="1"/>
    <col min="15" max="15" width="12.140625" bestFit="1" customWidth="1"/>
    <col min="17" max="17" width="36.42578125" customWidth="1"/>
    <col min="18" max="18" width="0.85546875" customWidth="1"/>
    <col min="19" max="19" width="12.7109375" customWidth="1"/>
    <col min="20" max="20" width="0.85546875" customWidth="1"/>
    <col min="21" max="21" width="12.7109375" customWidth="1"/>
    <col min="22" max="22" width="1.140625" customWidth="1"/>
    <col min="23" max="23" width="13" customWidth="1"/>
    <col min="24" max="24" width="0.85546875" customWidth="1"/>
    <col min="25" max="25" width="12.7109375" customWidth="1"/>
    <col min="26" max="26" width="0.85546875" customWidth="1"/>
    <col min="27" max="27" width="12.7109375" customWidth="1"/>
    <col min="28" max="28" width="0.85546875" customWidth="1"/>
    <col min="29" max="29" width="12.7109375" customWidth="1"/>
    <col min="30" max="30" width="1.28515625" customWidth="1"/>
    <col min="31" max="31" width="14.5703125" customWidth="1"/>
    <col min="32" max="32" width="1.28515625" customWidth="1"/>
    <col min="33" max="33" width="11.28515625" customWidth="1"/>
    <col min="34" max="34" width="1.28515625" customWidth="1"/>
    <col min="36" max="36" width="1.28515625" customWidth="1"/>
    <col min="39" max="39" width="39.7109375" customWidth="1"/>
    <col min="40" max="40" width="0.85546875" customWidth="1"/>
    <col min="41" max="41" width="14.42578125" customWidth="1"/>
    <col min="42" max="42" width="0.85546875" customWidth="1"/>
    <col min="43" max="43" width="14.42578125" customWidth="1"/>
    <col min="44" max="44" width="0.85546875" customWidth="1"/>
    <col min="45" max="45" width="14.42578125" customWidth="1"/>
    <col min="46" max="46" width="0.85546875" customWidth="1"/>
    <col min="47" max="47" width="14.42578125" customWidth="1"/>
    <col min="48" max="48" width="0.85546875" customWidth="1"/>
    <col min="49" max="49" width="14.42578125" customWidth="1"/>
    <col min="50" max="50" width="19.140625" customWidth="1"/>
    <col min="51" max="51" width="0.85546875" customWidth="1"/>
    <col min="52" max="52" width="12.42578125" customWidth="1"/>
    <col min="53" max="53" width="0.85546875" customWidth="1"/>
    <col min="54" max="54" width="10" customWidth="1"/>
    <col min="55" max="55" width="0.85546875" customWidth="1"/>
    <col min="56" max="56" width="10.140625" customWidth="1"/>
    <col min="57" max="57" width="0.85546875" customWidth="1"/>
    <col min="58" max="58" width="9.42578125" customWidth="1"/>
    <col min="59" max="59" width="0.85546875" customWidth="1"/>
    <col min="60" max="60" width="10.28515625" customWidth="1"/>
    <col min="61" max="61" width="0.85546875" customWidth="1"/>
    <col min="62" max="62" width="15.28515625" customWidth="1"/>
    <col min="63" max="63" width="0.85546875" customWidth="1"/>
    <col min="64" max="64" width="12.5703125" customWidth="1"/>
    <col min="65" max="65" width="0.85546875" customWidth="1"/>
    <col min="66" max="66" width="9" bestFit="1" customWidth="1"/>
    <col min="68" max="68" width="32.5703125" customWidth="1"/>
    <col min="69" max="69" width="0.85546875" customWidth="1"/>
    <col min="70" max="70" width="15.5703125" customWidth="1"/>
    <col min="71" max="71" width="0.85546875" customWidth="1"/>
    <col min="72" max="72" width="15.5703125" customWidth="1"/>
    <col min="73" max="73" width="0.85546875" customWidth="1"/>
    <col min="74" max="74" width="15.5703125" customWidth="1"/>
    <col min="76" max="76" width="40.5703125" customWidth="1"/>
    <col min="77" max="77" width="0.85546875" customWidth="1"/>
    <col min="78" max="78" width="11.28515625" customWidth="1"/>
    <col min="79" max="79" width="0.85546875" customWidth="1"/>
    <col min="80" max="80" width="12.5703125" bestFit="1" customWidth="1"/>
    <col min="81" max="81" width="0.85546875" customWidth="1"/>
    <col min="82" max="82" width="17.42578125" customWidth="1"/>
    <col min="83" max="83" width="0.85546875" customWidth="1"/>
    <col min="84" max="84" width="17.28515625" customWidth="1"/>
    <col min="85" max="85" width="0.85546875" customWidth="1"/>
    <col min="86" max="86" width="15.5703125" bestFit="1" customWidth="1"/>
    <col min="87" max="87" width="0.85546875" customWidth="1"/>
    <col min="88" max="88" width="18.28515625" hidden="1" customWidth="1"/>
    <col min="89" max="89" width="0.85546875" hidden="1" customWidth="1"/>
    <col min="90" max="90" width="11.5703125" customWidth="1"/>
    <col min="97" max="97" width="12.7109375" bestFit="1" customWidth="1"/>
    <col min="98" max="98" width="14.140625" bestFit="1" customWidth="1"/>
    <col min="99" max="99" width="12.28515625" bestFit="1" customWidth="1"/>
    <col min="100" max="100" width="14.140625" bestFit="1" customWidth="1"/>
    <col min="101" max="101" width="14.42578125" bestFit="1" customWidth="1"/>
    <col min="102" max="102" width="13.28515625" customWidth="1"/>
    <col min="103" max="103" width="24" bestFit="1" customWidth="1"/>
  </cols>
  <sheetData>
    <row r="1" spans="2:11" x14ac:dyDescent="0.25">
      <c r="B1" s="975"/>
      <c r="C1" s="975"/>
      <c r="D1" s="975"/>
      <c r="E1" s="975"/>
      <c r="F1" s="975"/>
      <c r="G1" s="975"/>
      <c r="H1" s="820"/>
    </row>
    <row r="2" spans="2:11" x14ac:dyDescent="0.25">
      <c r="B2" s="976" t="s">
        <v>4486</v>
      </c>
      <c r="C2" s="976"/>
      <c r="D2" s="976"/>
      <c r="E2" s="976"/>
      <c r="F2" s="976"/>
      <c r="G2" s="976"/>
      <c r="H2" s="821"/>
      <c r="I2" s="72"/>
      <c r="J2" s="72"/>
      <c r="K2" s="72"/>
    </row>
    <row r="3" spans="2:11" x14ac:dyDescent="0.25">
      <c r="B3" s="976" t="s">
        <v>4487</v>
      </c>
      <c r="C3" s="976"/>
      <c r="D3" s="976"/>
      <c r="E3" s="976"/>
      <c r="F3" s="976"/>
      <c r="G3" s="976"/>
      <c r="H3" s="821"/>
      <c r="I3" s="72"/>
      <c r="J3" s="72"/>
      <c r="K3" s="72"/>
    </row>
    <row r="4" spans="2:11" x14ac:dyDescent="0.25">
      <c r="B4" s="976" t="s">
        <v>7311</v>
      </c>
      <c r="C4" s="976"/>
      <c r="D4" s="976"/>
      <c r="E4" s="976"/>
      <c r="F4" s="976"/>
      <c r="G4" s="976"/>
      <c r="H4" s="821"/>
      <c r="I4" s="72"/>
      <c r="J4" s="72"/>
      <c r="K4" s="72"/>
    </row>
    <row r="5" spans="2:11" x14ac:dyDescent="0.25">
      <c r="B5" s="976" t="s">
        <v>4488</v>
      </c>
      <c r="C5" s="976"/>
      <c r="D5" s="976"/>
      <c r="E5" s="976"/>
      <c r="F5" s="976"/>
      <c r="G5" s="976"/>
      <c r="H5" s="821"/>
      <c r="I5" s="72"/>
      <c r="J5" s="72"/>
      <c r="K5" s="72"/>
    </row>
    <row r="6" spans="2:11" x14ac:dyDescent="0.25">
      <c r="B6" s="975"/>
      <c r="C6" s="975"/>
      <c r="D6" s="975"/>
      <c r="E6" s="975"/>
      <c r="F6" s="975"/>
      <c r="G6" s="975"/>
      <c r="H6" s="820"/>
      <c r="I6" s="70"/>
      <c r="J6" s="70"/>
      <c r="K6" s="70"/>
    </row>
    <row r="7" spans="2:11" x14ac:dyDescent="0.25">
      <c r="B7" s="978" t="s">
        <v>6815</v>
      </c>
      <c r="C7" s="978"/>
      <c r="D7" s="978"/>
      <c r="E7" s="978"/>
      <c r="F7" s="978"/>
      <c r="G7" s="978"/>
      <c r="H7" s="817"/>
      <c r="I7" s="72"/>
      <c r="J7" s="72"/>
      <c r="K7" s="72"/>
    </row>
    <row r="8" spans="2:11" ht="117.75" customHeight="1" x14ac:dyDescent="0.25">
      <c r="B8" s="966" t="s">
        <v>7116</v>
      </c>
      <c r="C8" s="966"/>
      <c r="D8" s="966"/>
      <c r="E8" s="966"/>
      <c r="F8" s="966"/>
      <c r="G8" s="966"/>
      <c r="H8" s="498"/>
      <c r="I8" s="72"/>
      <c r="J8" s="72"/>
      <c r="K8" s="72"/>
    </row>
    <row r="9" spans="2:11" x14ac:dyDescent="0.25">
      <c r="B9" s="977"/>
      <c r="C9" s="977"/>
      <c r="D9" s="977"/>
      <c r="E9" s="977"/>
      <c r="F9" s="977"/>
      <c r="G9" s="977"/>
      <c r="H9" s="497"/>
      <c r="I9" s="72"/>
      <c r="J9" s="72"/>
      <c r="K9" s="72"/>
    </row>
    <row r="10" spans="2:11" ht="49.5" customHeight="1" x14ac:dyDescent="0.25">
      <c r="B10" s="966" t="s">
        <v>7030</v>
      </c>
      <c r="C10" s="966"/>
      <c r="D10" s="966"/>
      <c r="E10" s="966"/>
      <c r="F10" s="966"/>
      <c r="G10" s="966"/>
      <c r="H10" s="498"/>
      <c r="I10" s="72"/>
      <c r="J10" s="72"/>
      <c r="K10" s="72"/>
    </row>
    <row r="11" spans="2:11" x14ac:dyDescent="0.25">
      <c r="B11" s="977"/>
      <c r="C11" s="977"/>
      <c r="D11" s="977"/>
      <c r="E11" s="977"/>
      <c r="F11" s="977"/>
      <c r="G11" s="977"/>
      <c r="H11" s="497"/>
      <c r="I11" s="72"/>
      <c r="J11" s="72"/>
      <c r="K11" s="72"/>
    </row>
    <row r="12" spans="2:11" ht="51.75" customHeight="1" x14ac:dyDescent="0.25">
      <c r="B12" s="966" t="s">
        <v>7031</v>
      </c>
      <c r="C12" s="966"/>
      <c r="D12" s="966"/>
      <c r="E12" s="966"/>
      <c r="F12" s="966"/>
      <c r="G12" s="966"/>
      <c r="H12" s="498"/>
      <c r="I12" s="72"/>
      <c r="J12" s="72"/>
      <c r="K12" s="72"/>
    </row>
    <row r="13" spans="2:11" x14ac:dyDescent="0.25">
      <c r="B13" s="977"/>
      <c r="C13" s="977"/>
      <c r="D13" s="977"/>
      <c r="E13" s="977"/>
      <c r="F13" s="977"/>
      <c r="G13" s="977"/>
      <c r="H13" s="497"/>
      <c r="I13" s="72"/>
      <c r="J13" s="72"/>
      <c r="K13" s="72"/>
    </row>
    <row r="14" spans="2:11" ht="32.25" customHeight="1" x14ac:dyDescent="0.25">
      <c r="B14" s="977" t="s">
        <v>7032</v>
      </c>
      <c r="C14" s="977"/>
      <c r="D14" s="977"/>
      <c r="E14" s="977"/>
      <c r="F14" s="977"/>
      <c r="G14" s="977"/>
      <c r="H14" s="497"/>
      <c r="I14" s="72"/>
      <c r="J14" s="72"/>
      <c r="K14" s="72"/>
    </row>
    <row r="15" spans="2:11" x14ac:dyDescent="0.25">
      <c r="B15" s="977"/>
      <c r="C15" s="977"/>
      <c r="D15" s="977"/>
      <c r="E15" s="977"/>
      <c r="F15" s="977"/>
      <c r="G15" s="977"/>
      <c r="H15" s="497"/>
      <c r="I15" s="72"/>
      <c r="J15" s="72"/>
      <c r="K15" s="72"/>
    </row>
    <row r="16" spans="2:11" ht="49.5" customHeight="1" x14ac:dyDescent="0.25">
      <c r="B16" s="977" t="s">
        <v>7095</v>
      </c>
      <c r="C16" s="977"/>
      <c r="D16" s="977"/>
      <c r="E16" s="977"/>
      <c r="F16" s="977"/>
      <c r="G16" s="977"/>
      <c r="H16" s="497"/>
      <c r="I16" s="72"/>
      <c r="J16" s="72"/>
      <c r="K16" s="72"/>
    </row>
    <row r="17" spans="2:11" x14ac:dyDescent="0.25">
      <c r="B17" s="977"/>
      <c r="C17" s="977"/>
      <c r="D17" s="977"/>
      <c r="E17" s="977"/>
      <c r="F17" s="977"/>
      <c r="G17" s="977"/>
      <c r="H17" s="497"/>
      <c r="I17" s="72"/>
      <c r="J17" s="72"/>
      <c r="K17" s="72"/>
    </row>
    <row r="18" spans="2:11" x14ac:dyDescent="0.25">
      <c r="B18" s="978" t="s">
        <v>6816</v>
      </c>
      <c r="C18" s="978"/>
      <c r="D18" s="978"/>
      <c r="E18" s="978"/>
      <c r="F18" s="978"/>
      <c r="G18" s="978"/>
      <c r="H18" s="817"/>
      <c r="I18" s="70"/>
      <c r="J18" s="70"/>
      <c r="K18" s="70"/>
    </row>
    <row r="19" spans="2:11" x14ac:dyDescent="0.25">
      <c r="B19" s="977"/>
      <c r="C19" s="977"/>
      <c r="D19" s="977"/>
      <c r="E19" s="977"/>
      <c r="F19" s="977"/>
      <c r="G19" s="977"/>
      <c r="H19" s="497"/>
      <c r="I19" s="72"/>
      <c r="J19" s="72"/>
      <c r="K19" s="72"/>
    </row>
    <row r="20" spans="2:11" ht="84.75" customHeight="1" x14ac:dyDescent="0.25">
      <c r="B20" s="966" t="s">
        <v>7117</v>
      </c>
      <c r="C20" s="966"/>
      <c r="D20" s="966"/>
      <c r="E20" s="966"/>
      <c r="F20" s="966"/>
      <c r="G20" s="966"/>
      <c r="H20" s="498"/>
      <c r="I20" s="72"/>
      <c r="J20" s="72"/>
      <c r="K20" s="72"/>
    </row>
    <row r="21" spans="2:11" x14ac:dyDescent="0.25">
      <c r="B21" s="977"/>
      <c r="C21" s="977"/>
      <c r="D21" s="977"/>
      <c r="E21" s="977"/>
      <c r="F21" s="977"/>
      <c r="G21" s="977"/>
      <c r="H21" s="497"/>
      <c r="I21" s="72"/>
      <c r="J21" s="72"/>
      <c r="K21" s="72"/>
    </row>
    <row r="22" spans="2:11" ht="34.5" customHeight="1" x14ac:dyDescent="0.25">
      <c r="B22" s="977" t="s">
        <v>7033</v>
      </c>
      <c r="C22" s="977"/>
      <c r="D22" s="977"/>
      <c r="E22" s="977"/>
      <c r="F22" s="977"/>
      <c r="G22" s="977"/>
      <c r="H22" s="497"/>
      <c r="I22" s="72"/>
      <c r="J22" s="72"/>
      <c r="K22" s="72"/>
    </row>
    <row r="23" spans="2:11" x14ac:dyDescent="0.25">
      <c r="B23" s="977"/>
      <c r="C23" s="977"/>
      <c r="D23" s="977"/>
      <c r="E23" s="977"/>
      <c r="F23" s="977"/>
      <c r="G23" s="977"/>
      <c r="H23" s="497"/>
      <c r="I23" s="72"/>
      <c r="J23" s="72"/>
      <c r="K23" s="72"/>
    </row>
    <row r="24" spans="2:11" ht="118.5" customHeight="1" x14ac:dyDescent="0.25">
      <c r="B24" s="966" t="s">
        <v>7235</v>
      </c>
      <c r="C24" s="966"/>
      <c r="D24" s="966"/>
      <c r="E24" s="966"/>
      <c r="F24" s="966"/>
      <c r="G24" s="966"/>
      <c r="H24" s="498"/>
      <c r="I24" s="72"/>
      <c r="J24" s="72"/>
      <c r="K24" s="72"/>
    </row>
    <row r="25" spans="2:11" x14ac:dyDescent="0.25">
      <c r="B25" s="966"/>
      <c r="C25" s="966"/>
      <c r="D25" s="966"/>
      <c r="E25" s="966"/>
      <c r="F25" s="966"/>
      <c r="G25" s="966"/>
      <c r="H25" s="498"/>
      <c r="I25" s="72"/>
      <c r="J25" s="72"/>
      <c r="K25" s="72"/>
    </row>
    <row r="26" spans="2:11" x14ac:dyDescent="0.25">
      <c r="B26" s="498"/>
      <c r="C26" s="498"/>
      <c r="D26" s="498"/>
      <c r="E26" s="498"/>
      <c r="F26" s="498"/>
      <c r="G26" s="498"/>
      <c r="H26" s="498"/>
      <c r="I26" s="72"/>
      <c r="J26" s="72"/>
      <c r="K26" s="72"/>
    </row>
    <row r="27" spans="2:11" x14ac:dyDescent="0.25">
      <c r="B27" s="965" t="s">
        <v>7034</v>
      </c>
      <c r="C27" s="965"/>
      <c r="D27" s="965"/>
      <c r="E27" s="965"/>
      <c r="F27" s="965"/>
      <c r="G27" s="965"/>
      <c r="H27" s="812"/>
      <c r="I27" s="72"/>
      <c r="J27" s="72"/>
      <c r="K27" s="72"/>
    </row>
    <row r="28" spans="2:11" x14ac:dyDescent="0.25">
      <c r="B28" s="966"/>
      <c r="C28" s="966"/>
      <c r="D28" s="966"/>
      <c r="E28" s="966"/>
      <c r="F28" s="966"/>
      <c r="G28" s="966"/>
      <c r="H28" s="498"/>
      <c r="I28" s="72"/>
      <c r="J28" s="72"/>
      <c r="K28" s="72"/>
    </row>
    <row r="29" spans="2:11" ht="50.25" customHeight="1" x14ac:dyDescent="0.25">
      <c r="B29" s="966" t="s">
        <v>7035</v>
      </c>
      <c r="C29" s="966"/>
      <c r="D29" s="966"/>
      <c r="E29" s="966"/>
      <c r="F29" s="966"/>
      <c r="G29" s="966"/>
      <c r="H29" s="498"/>
      <c r="I29" s="72"/>
      <c r="J29" s="72"/>
      <c r="K29" s="72"/>
    </row>
    <row r="30" spans="2:11" x14ac:dyDescent="0.25">
      <c r="B30" s="966"/>
      <c r="C30" s="966"/>
      <c r="D30" s="966"/>
      <c r="E30" s="966"/>
      <c r="F30" s="966"/>
      <c r="G30" s="966"/>
      <c r="H30" s="498"/>
      <c r="I30" s="72"/>
      <c r="J30" s="72"/>
      <c r="K30" s="72"/>
    </row>
    <row r="31" spans="2:11" x14ac:dyDescent="0.25">
      <c r="B31" s="965" t="s">
        <v>7036</v>
      </c>
      <c r="C31" s="965"/>
      <c r="D31" s="965"/>
      <c r="E31" s="965"/>
      <c r="F31" s="965"/>
      <c r="G31" s="965"/>
      <c r="H31" s="812"/>
      <c r="I31" s="72"/>
      <c r="J31" s="72"/>
      <c r="K31" s="72"/>
    </row>
    <row r="32" spans="2:11" x14ac:dyDescent="0.25">
      <c r="B32" s="966"/>
      <c r="C32" s="966"/>
      <c r="D32" s="966"/>
      <c r="E32" s="966"/>
      <c r="F32" s="966"/>
      <c r="G32" s="966"/>
      <c r="H32" s="498"/>
      <c r="I32" s="72"/>
      <c r="J32" s="72"/>
      <c r="K32" s="72"/>
    </row>
    <row r="33" spans="2:21" ht="36.75" customHeight="1" x14ac:dyDescent="0.25">
      <c r="B33" s="966" t="s">
        <v>7037</v>
      </c>
      <c r="C33" s="966"/>
      <c r="D33" s="966"/>
      <c r="E33" s="966"/>
      <c r="F33" s="966"/>
      <c r="G33" s="966"/>
      <c r="H33" s="498"/>
      <c r="I33" s="72"/>
      <c r="J33" s="72"/>
      <c r="K33" s="72"/>
    </row>
    <row r="34" spans="2:21" x14ac:dyDescent="0.25">
      <c r="B34" s="977"/>
      <c r="C34" s="977"/>
      <c r="D34" s="977"/>
      <c r="E34" s="977"/>
      <c r="F34" s="977"/>
      <c r="G34" s="977"/>
      <c r="H34" s="497"/>
      <c r="I34" s="72"/>
      <c r="J34" s="72"/>
      <c r="K34" s="72"/>
    </row>
    <row r="35" spans="2:21" ht="84" customHeight="1" x14ac:dyDescent="0.25">
      <c r="B35" s="966" t="s">
        <v>7038</v>
      </c>
      <c r="C35" s="966"/>
      <c r="D35" s="966"/>
      <c r="E35" s="966"/>
      <c r="F35" s="966"/>
      <c r="G35" s="966"/>
      <c r="H35" s="498"/>
      <c r="I35" s="72"/>
      <c r="J35" s="72"/>
      <c r="K35" s="72"/>
    </row>
    <row r="36" spans="2:21" x14ac:dyDescent="0.25">
      <c r="B36" s="977"/>
      <c r="C36" s="977"/>
      <c r="D36" s="977"/>
      <c r="E36" s="977"/>
      <c r="F36" s="977"/>
      <c r="G36" s="977"/>
      <c r="H36" s="497"/>
      <c r="I36" s="72"/>
      <c r="J36" s="72"/>
      <c r="K36" s="72"/>
    </row>
    <row r="37" spans="2:21" x14ac:dyDescent="0.25">
      <c r="B37" s="978" t="s">
        <v>6817</v>
      </c>
      <c r="C37" s="978"/>
      <c r="D37" s="978"/>
      <c r="E37" s="978"/>
      <c r="F37" s="978"/>
      <c r="G37" s="978"/>
      <c r="H37" s="817"/>
      <c r="I37" s="70"/>
      <c r="J37" s="70"/>
      <c r="K37" s="70"/>
    </row>
    <row r="38" spans="2:21" x14ac:dyDescent="0.25">
      <c r="B38" s="977"/>
      <c r="C38" s="977"/>
      <c r="D38" s="977"/>
      <c r="E38" s="977"/>
      <c r="F38" s="977"/>
      <c r="G38" s="977"/>
      <c r="H38" s="497"/>
      <c r="I38" s="72"/>
      <c r="J38" s="72"/>
      <c r="K38" s="72"/>
    </row>
    <row r="39" spans="2:21" ht="51" customHeight="1" x14ac:dyDescent="0.25">
      <c r="B39" s="966" t="s">
        <v>7039</v>
      </c>
      <c r="C39" s="966"/>
      <c r="D39" s="966"/>
      <c r="E39" s="966"/>
      <c r="F39" s="966"/>
      <c r="G39" s="966"/>
      <c r="H39" s="498"/>
      <c r="I39" s="72"/>
      <c r="J39" s="72"/>
      <c r="K39" s="72"/>
    </row>
    <row r="40" spans="2:21" x14ac:dyDescent="0.25">
      <c r="B40" s="977"/>
      <c r="C40" s="977"/>
      <c r="D40" s="977"/>
      <c r="E40" s="977"/>
      <c r="F40" s="977"/>
      <c r="G40" s="977"/>
      <c r="H40" s="497"/>
      <c r="I40" s="72"/>
      <c r="J40" s="72"/>
      <c r="K40" s="72"/>
    </row>
    <row r="41" spans="2:21" x14ac:dyDescent="0.25">
      <c r="B41" s="983" t="e">
        <f>CONCATENATE(#REF!," - CAIXA E EQUIVALENTES DE CAIXA")</f>
        <v>#REF!</v>
      </c>
      <c r="C41" s="983"/>
      <c r="D41" s="983"/>
      <c r="E41" s="983"/>
      <c r="F41" s="983"/>
      <c r="G41" s="983"/>
      <c r="H41" s="818"/>
      <c r="I41" s="70"/>
      <c r="J41" s="70"/>
      <c r="K41" s="70"/>
    </row>
    <row r="42" spans="2:21" ht="72.75" customHeight="1" x14ac:dyDescent="0.25">
      <c r="B42" s="966" t="s">
        <v>7176</v>
      </c>
      <c r="C42" s="966"/>
      <c r="D42" s="966"/>
      <c r="E42" s="966"/>
      <c r="F42" s="966"/>
      <c r="G42" s="966"/>
      <c r="H42" s="498"/>
      <c r="I42" s="70"/>
      <c r="J42" s="70"/>
      <c r="K42" s="70"/>
    </row>
    <row r="43" spans="2:21" x14ac:dyDescent="0.25">
      <c r="B43" s="984"/>
      <c r="C43" s="984"/>
      <c r="D43" s="984"/>
      <c r="E43" s="984"/>
      <c r="F43" s="984"/>
      <c r="G43" s="984"/>
      <c r="H43" s="819"/>
      <c r="I43" s="70"/>
      <c r="J43" s="70"/>
      <c r="K43" s="70"/>
      <c r="L43" s="7"/>
    </row>
    <row r="44" spans="2:21" x14ac:dyDescent="0.25">
      <c r="B44" s="499" t="s">
        <v>6804</v>
      </c>
      <c r="C44" s="500"/>
      <c r="D44" s="501" t="s">
        <v>7317</v>
      </c>
      <c r="E44" s="502"/>
      <c r="F44" s="501" t="s">
        <v>6843</v>
      </c>
      <c r="G44" s="503"/>
      <c r="H44" s="70"/>
      <c r="I44" s="70"/>
      <c r="J44" s="70"/>
      <c r="K44" s="419" t="s">
        <v>7005</v>
      </c>
      <c r="Q44" s="73"/>
    </row>
    <row r="45" spans="2:21" x14ac:dyDescent="0.25">
      <c r="B45" s="504" t="s">
        <v>4489</v>
      </c>
      <c r="C45" s="351"/>
      <c r="D45" s="73">
        <f>20775+1</f>
        <v>20776</v>
      </c>
      <c r="E45" s="71"/>
      <c r="F45" s="73">
        <v>19286</v>
      </c>
      <c r="G45" s="505"/>
      <c r="H45" s="70"/>
      <c r="I45" s="834" t="s">
        <v>7232</v>
      </c>
      <c r="J45" s="70"/>
      <c r="K45" s="420">
        <v>100</v>
      </c>
      <c r="L45" s="420">
        <v>111110100</v>
      </c>
      <c r="M45" s="724" t="s">
        <v>7237</v>
      </c>
      <c r="N45" s="420">
        <v>111122001</v>
      </c>
      <c r="O45" s="724" t="s">
        <v>7237</v>
      </c>
      <c r="P45" s="420">
        <v>111122003</v>
      </c>
      <c r="Q45" s="73">
        <v>18500.694489999998</v>
      </c>
      <c r="S45" s="619">
        <f>Q45/$Q$48</f>
        <v>0.39756737137482501</v>
      </c>
    </row>
    <row r="46" spans="2:21" x14ac:dyDescent="0.25">
      <c r="B46" s="504" t="s">
        <v>4490</v>
      </c>
      <c r="C46" s="351"/>
      <c r="D46" s="73" t="e">
        <f>ROUND(#REF!/1000,0)</f>
        <v>#REF!</v>
      </c>
      <c r="E46" s="71"/>
      <c r="F46" s="73">
        <v>499</v>
      </c>
      <c r="G46" s="505"/>
      <c r="H46" s="70"/>
      <c r="I46" s="421"/>
      <c r="J46" s="70"/>
      <c r="K46" s="420" t="s">
        <v>7004</v>
      </c>
      <c r="L46" s="420">
        <v>111310200</v>
      </c>
      <c r="M46" s="420"/>
      <c r="Q46" s="73">
        <v>441.61497000000003</v>
      </c>
      <c r="S46" s="619">
        <f>Q46/$Q$48</f>
        <v>9.4900060577494689E-3</v>
      </c>
    </row>
    <row r="47" spans="2:21" x14ac:dyDescent="0.25">
      <c r="B47" s="504" t="s">
        <v>4491</v>
      </c>
      <c r="C47" s="351"/>
      <c r="D47" s="73">
        <v>56204</v>
      </c>
      <c r="E47" s="71"/>
      <c r="F47" s="73">
        <v>29510</v>
      </c>
      <c r="G47" s="505"/>
      <c r="H47" s="70"/>
      <c r="I47" s="421"/>
      <c r="J47" s="70"/>
      <c r="K47" s="420">
        <v>105</v>
      </c>
      <c r="L47" s="420">
        <v>111110100</v>
      </c>
      <c r="M47" s="724" t="s">
        <v>7237</v>
      </c>
      <c r="N47" s="420">
        <v>111122001</v>
      </c>
      <c r="O47" s="724" t="s">
        <v>7237</v>
      </c>
      <c r="P47" s="420">
        <v>111122003</v>
      </c>
      <c r="Q47" s="73">
        <v>27592.431120000001</v>
      </c>
      <c r="S47" s="619">
        <f>Q47/$Q$48</f>
        <v>0.59294262256742558</v>
      </c>
    </row>
    <row r="48" spans="2:21" x14ac:dyDescent="0.25">
      <c r="B48" s="506" t="s">
        <v>4503</v>
      </c>
      <c r="C48" s="507"/>
      <c r="D48" s="562" t="e">
        <f>SUM(D45:D47)</f>
        <v>#REF!</v>
      </c>
      <c r="E48" s="563"/>
      <c r="F48" s="562">
        <v>49295</v>
      </c>
      <c r="G48" s="508"/>
      <c r="H48" s="70"/>
      <c r="I48" s="556" t="e">
        <f>ROUND(('1. BP (mil)'!H14-D48),0)</f>
        <v>#REF!</v>
      </c>
      <c r="J48" s="556">
        <f>ROUND(('1. BP (mil)'!J14-F48),0)</f>
        <v>0</v>
      </c>
      <c r="K48" s="71"/>
      <c r="Q48" s="620">
        <v>46534.740579999998</v>
      </c>
      <c r="S48" s="619">
        <f>Q48/$Q$48</f>
        <v>1</v>
      </c>
      <c r="U48" s="621" t="s">
        <v>7098</v>
      </c>
    </row>
    <row r="49" spans="2:21" ht="13.5" customHeight="1" x14ac:dyDescent="0.25">
      <c r="I49" s="70"/>
      <c r="J49" s="70"/>
      <c r="K49" s="479" t="s">
        <v>7341</v>
      </c>
      <c r="Q49" s="73">
        <v>13822</v>
      </c>
      <c r="S49" s="619">
        <f>Q49*S48/Q48</f>
        <v>0.29702540140388167</v>
      </c>
      <c r="U49" s="618">
        <v>111122003</v>
      </c>
    </row>
    <row r="50" spans="2:21" ht="138.75" customHeight="1" x14ac:dyDescent="0.25">
      <c r="B50" s="964" t="s">
        <v>7294</v>
      </c>
      <c r="C50" s="964"/>
      <c r="D50" s="964"/>
      <c r="E50" s="964"/>
      <c r="F50" s="964"/>
      <c r="G50" s="964"/>
      <c r="H50" s="763"/>
      <c r="I50" s="70"/>
      <c r="J50" s="70"/>
      <c r="K50" s="70"/>
      <c r="Q50" s="73"/>
    </row>
    <row r="51" spans="2:21" x14ac:dyDescent="0.25">
      <c r="B51" s="985" t="e">
        <f>CONCATENATE(#REF!," - CONTAS A RECEBER")</f>
        <v>#REF!</v>
      </c>
      <c r="C51" s="985"/>
      <c r="D51" s="985"/>
      <c r="E51" s="985"/>
      <c r="F51" s="985"/>
      <c r="G51" s="985"/>
      <c r="H51" s="811"/>
      <c r="I51" s="70"/>
      <c r="J51" s="70"/>
      <c r="K51" s="70"/>
      <c r="Q51" s="73"/>
    </row>
    <row r="52" spans="2:21" x14ac:dyDescent="0.25">
      <c r="B52" s="977" t="s">
        <v>7177</v>
      </c>
      <c r="C52" s="977"/>
      <c r="D52" s="977"/>
      <c r="E52" s="977"/>
      <c r="F52" s="977"/>
      <c r="G52" s="977"/>
      <c r="H52" s="497"/>
      <c r="I52" s="70"/>
      <c r="J52" s="70"/>
      <c r="K52" s="70"/>
    </row>
    <row r="53" spans="2:21" x14ac:dyDescent="0.25">
      <c r="B53" s="497"/>
      <c r="C53" s="497"/>
      <c r="D53" s="497"/>
      <c r="E53" s="497"/>
      <c r="F53" s="497"/>
      <c r="G53" s="497"/>
      <c r="H53" s="497"/>
      <c r="I53" s="70"/>
      <c r="J53" s="70"/>
      <c r="K53" s="70"/>
    </row>
    <row r="54" spans="2:21" x14ac:dyDescent="0.25">
      <c r="B54" s="499" t="s">
        <v>6806</v>
      </c>
      <c r="C54" s="500"/>
      <c r="D54" s="501" t="str">
        <f>D44</f>
        <v xml:space="preserve"> Dezembro 2025</v>
      </c>
      <c r="E54" s="502"/>
      <c r="F54" s="501" t="str">
        <f>F44</f>
        <v xml:space="preserve"> Dezembro 2024</v>
      </c>
      <c r="G54" s="503"/>
      <c r="H54" s="70"/>
      <c r="I54" s="699">
        <v>25</v>
      </c>
      <c r="J54" s="699">
        <v>24</v>
      </c>
      <c r="K54" s="479" t="s">
        <v>7015</v>
      </c>
      <c r="Q54" s="800" t="s">
        <v>7286</v>
      </c>
    </row>
    <row r="55" spans="2:21" x14ac:dyDescent="0.25">
      <c r="B55" s="693" t="s">
        <v>7220</v>
      </c>
      <c r="C55" s="351"/>
      <c r="D55" s="691"/>
      <c r="E55" s="352"/>
      <c r="F55" s="691"/>
      <c r="G55" s="505"/>
      <c r="H55" s="70"/>
      <c r="I55" s="70"/>
      <c r="J55" s="70"/>
      <c r="K55" s="479"/>
    </row>
    <row r="56" spans="2:21" x14ac:dyDescent="0.25">
      <c r="B56" s="692" t="s">
        <v>7221</v>
      </c>
      <c r="C56" s="351"/>
      <c r="D56" s="73" t="e">
        <f>ROUND(#REF!/1000,0)-3693</f>
        <v>#REF!</v>
      </c>
      <c r="E56" s="71"/>
      <c r="F56" s="357">
        <f>12192+22918</f>
        <v>35110</v>
      </c>
      <c r="G56" s="505"/>
      <c r="H56" s="70"/>
      <c r="I56" s="911" t="s">
        <v>7349</v>
      </c>
      <c r="J56" s="70"/>
      <c r="K56" s="420" t="s">
        <v>18</v>
      </c>
    </row>
    <row r="57" spans="2:21" x14ac:dyDescent="0.25">
      <c r="B57" s="504" t="s">
        <v>7222</v>
      </c>
      <c r="C57" s="351"/>
      <c r="D57" s="73" t="e">
        <f>ROUND(#REF!/1000,0)</f>
        <v>#REF!</v>
      </c>
      <c r="E57" s="71"/>
      <c r="F57" s="355">
        <f>343+2928</f>
        <v>3271</v>
      </c>
      <c r="G57" s="505"/>
      <c r="H57" s="70"/>
      <c r="I57" s="70"/>
      <c r="J57" s="70"/>
      <c r="K57" s="420" t="s">
        <v>32</v>
      </c>
    </row>
    <row r="58" spans="2:21" x14ac:dyDescent="0.25">
      <c r="B58" s="504" t="s">
        <v>7224</v>
      </c>
      <c r="C58" s="351"/>
      <c r="D58" s="368" t="e">
        <f>ROUND(-#REF!/1000,0)+3693</f>
        <v>#REF!</v>
      </c>
      <c r="E58" s="368"/>
      <c r="F58" s="368">
        <v>-25846</v>
      </c>
      <c r="G58" s="505"/>
      <c r="H58" s="70"/>
      <c r="I58" s="911" t="s">
        <v>7350</v>
      </c>
      <c r="J58" s="70"/>
      <c r="K58" s="420"/>
      <c r="Q58" s="801">
        <f>(-11886484.87/1000)</f>
        <v>-11886.484869999998</v>
      </c>
    </row>
    <row r="59" spans="2:21" x14ac:dyDescent="0.25">
      <c r="B59" s="506" t="s">
        <v>7231</v>
      </c>
      <c r="C59" s="351"/>
      <c r="D59" s="562" t="e">
        <f>SUM(D56:D58)</f>
        <v>#REF!</v>
      </c>
      <c r="E59" s="408"/>
      <c r="F59" s="562">
        <f>SUM(F56:F58)</f>
        <v>12535</v>
      </c>
      <c r="G59" s="505"/>
      <c r="H59" s="70"/>
      <c r="I59" s="70"/>
      <c r="J59" s="70"/>
      <c r="K59" s="420"/>
    </row>
    <row r="60" spans="2:21" x14ac:dyDescent="0.25">
      <c r="B60" s="504" t="s">
        <v>7225</v>
      </c>
      <c r="C60" s="351"/>
      <c r="D60" s="73"/>
      <c r="E60" s="71"/>
      <c r="F60" s="355"/>
      <c r="G60" s="505"/>
      <c r="H60" s="70"/>
      <c r="I60" s="70"/>
      <c r="J60" s="70"/>
      <c r="K60" s="420"/>
    </row>
    <row r="61" spans="2:21" x14ac:dyDescent="0.25">
      <c r="B61" s="725" t="s">
        <v>7223</v>
      </c>
      <c r="C61" s="351"/>
      <c r="D61" s="726" t="e">
        <f>ROUND(#REF!/1000,0)-D63</f>
        <v>#REF!</v>
      </c>
      <c r="E61" s="408"/>
      <c r="F61" s="726">
        <v>27845</v>
      </c>
      <c r="G61" s="505"/>
      <c r="H61" s="70"/>
      <c r="I61" s="698"/>
      <c r="J61" s="70"/>
      <c r="K61" s="727" t="s">
        <v>7239</v>
      </c>
    </row>
    <row r="62" spans="2:21" x14ac:dyDescent="0.25">
      <c r="B62" s="694" t="s">
        <v>7238</v>
      </c>
      <c r="C62" s="522"/>
      <c r="D62" s="762"/>
      <c r="E62" s="71"/>
      <c r="F62" s="762"/>
      <c r="G62" s="505"/>
      <c r="H62" s="70"/>
      <c r="I62" s="70"/>
      <c r="J62" s="70"/>
      <c r="K62" s="420"/>
    </row>
    <row r="63" spans="2:21" x14ac:dyDescent="0.25">
      <c r="B63" s="514" t="s">
        <v>7230</v>
      </c>
      <c r="C63" s="522"/>
      <c r="D63" s="368">
        <f>ROUND(3119823/1000,0)</f>
        <v>3120</v>
      </c>
      <c r="E63" s="368"/>
      <c r="F63" s="368" t="s">
        <v>4525</v>
      </c>
      <c r="G63" s="505"/>
      <c r="H63" s="70"/>
      <c r="I63" s="70"/>
      <c r="J63" s="70"/>
      <c r="K63" s="420"/>
    </row>
    <row r="64" spans="2:21" x14ac:dyDescent="0.25">
      <c r="B64" s="506" t="s">
        <v>4502</v>
      </c>
      <c r="C64" s="507"/>
      <c r="D64" s="562" t="e">
        <f>D59+D61+D63</f>
        <v>#REF!</v>
      </c>
      <c r="E64" s="563"/>
      <c r="F64" s="562">
        <f>F59+F61</f>
        <v>40380</v>
      </c>
      <c r="G64" s="508"/>
      <c r="H64" s="70"/>
      <c r="I64" s="556" t="e">
        <f>ROUND(('1. BP (mil)'!H15-D64),0)</f>
        <v>#REF!</v>
      </c>
      <c r="J64" s="556">
        <f>ROUND(('1. BP (mil)'!J15-F64),0)</f>
        <v>0</v>
      </c>
      <c r="K64" s="70"/>
    </row>
    <row r="65" spans="2:17" x14ac:dyDescent="0.25">
      <c r="B65" s="533"/>
      <c r="C65" s="517"/>
      <c r="D65" s="695"/>
      <c r="E65" s="695"/>
      <c r="F65" s="695"/>
      <c r="G65" s="574"/>
      <c r="H65" s="70"/>
      <c r="J65" s="479"/>
      <c r="K65" s="479"/>
    </row>
    <row r="66" spans="2:17" ht="84" customHeight="1" x14ac:dyDescent="0.25">
      <c r="B66" s="987" t="s">
        <v>7266</v>
      </c>
      <c r="C66" s="966"/>
      <c r="D66" s="966"/>
      <c r="E66" s="966"/>
      <c r="F66" s="966"/>
      <c r="G66" s="966"/>
      <c r="H66" s="498"/>
      <c r="I66" s="368"/>
      <c r="J66" s="70"/>
      <c r="K66" s="70"/>
    </row>
    <row r="67" spans="2:17" ht="83.25" customHeight="1" x14ac:dyDescent="0.25">
      <c r="B67" s="966" t="s">
        <v>7021</v>
      </c>
      <c r="C67" s="966"/>
      <c r="D67" s="966"/>
      <c r="E67" s="966"/>
      <c r="F67" s="966"/>
      <c r="G67" s="966"/>
      <c r="H67" s="498"/>
      <c r="K67" s="70"/>
    </row>
    <row r="68" spans="2:17" x14ac:dyDescent="0.25">
      <c r="B68" s="92"/>
      <c r="C68" s="372"/>
      <c r="D68" s="368"/>
      <c r="E68" s="368"/>
      <c r="F68" s="368"/>
      <c r="G68" s="70"/>
      <c r="H68" s="70"/>
      <c r="I68" s="368"/>
      <c r="J68" s="70"/>
      <c r="K68" s="70"/>
    </row>
    <row r="69" spans="2:17" ht="34.5" customHeight="1" x14ac:dyDescent="0.25">
      <c r="B69" s="966" t="e">
        <f>CONCATENATE("c) Subvenções a Receber – correspondem os valores a receber do tesouro nacional, a título de subvenções para pagamento das dívidas com o Nucleos (Vide Nota ",#REF!,").")</f>
        <v>#REF!</v>
      </c>
      <c r="C69" s="966"/>
      <c r="D69" s="966"/>
      <c r="E69" s="966"/>
      <c r="F69" s="966"/>
      <c r="G69" s="966"/>
      <c r="H69" s="498"/>
      <c r="I69" s="70"/>
      <c r="J69" s="70"/>
      <c r="K69" s="70"/>
    </row>
    <row r="70" spans="2:17" x14ac:dyDescent="0.25">
      <c r="B70" s="977"/>
      <c r="C70" s="977"/>
      <c r="D70" s="977"/>
      <c r="E70" s="977"/>
      <c r="F70" s="977"/>
      <c r="G70" s="977"/>
      <c r="H70" s="497"/>
      <c r="I70" s="70"/>
      <c r="J70" s="70"/>
      <c r="K70" s="70"/>
    </row>
    <row r="71" spans="2:17" ht="60" customHeight="1" x14ac:dyDescent="0.25">
      <c r="B71" s="966" t="s">
        <v>7258</v>
      </c>
      <c r="C71" s="966"/>
      <c r="D71" s="966"/>
      <c r="E71" s="966"/>
      <c r="F71" s="966"/>
      <c r="G71" s="966"/>
      <c r="H71" s="498"/>
      <c r="I71" s="70"/>
      <c r="J71" s="70"/>
      <c r="K71" s="70"/>
    </row>
    <row r="72" spans="2:17" x14ac:dyDescent="0.25">
      <c r="B72" s="497"/>
      <c r="C72" s="497"/>
      <c r="D72" s="497"/>
      <c r="E72" s="497"/>
      <c r="F72" s="497"/>
      <c r="G72" s="497"/>
      <c r="H72" s="497"/>
      <c r="I72" s="70"/>
      <c r="J72" s="70"/>
      <c r="K72" s="70"/>
    </row>
    <row r="73" spans="2:17" x14ac:dyDescent="0.25">
      <c r="B73" s="986" t="e">
        <f>CONCATENATE(#REF!," - ESTOQUES")</f>
        <v>#REF!</v>
      </c>
      <c r="C73" s="986"/>
      <c r="D73" s="986"/>
      <c r="E73" s="986"/>
      <c r="F73" s="986"/>
      <c r="G73" s="986"/>
      <c r="H73" s="814"/>
      <c r="I73" s="70"/>
      <c r="J73" s="70"/>
      <c r="K73" s="70"/>
    </row>
    <row r="74" spans="2:17" ht="169.5" customHeight="1" x14ac:dyDescent="0.25">
      <c r="B74" s="966" t="s">
        <v>7214</v>
      </c>
      <c r="C74" s="966"/>
      <c r="D74" s="966"/>
      <c r="E74" s="966"/>
      <c r="F74" s="966"/>
      <c r="G74" s="966"/>
      <c r="H74" s="498"/>
      <c r="I74" s="70"/>
      <c r="J74" s="70"/>
      <c r="K74" s="70"/>
    </row>
    <row r="75" spans="2:17" x14ac:dyDescent="0.25">
      <c r="B75" s="927" t="s">
        <v>6810</v>
      </c>
      <c r="C75" s="928"/>
      <c r="D75" s="929" t="str">
        <f>D54</f>
        <v xml:space="preserve"> Dezembro 2025</v>
      </c>
      <c r="E75" s="930"/>
      <c r="F75" s="929" t="str">
        <f>F54</f>
        <v xml:space="preserve"> Dezembro 2024</v>
      </c>
      <c r="G75" s="931"/>
      <c r="H75" s="70"/>
      <c r="I75" s="70"/>
      <c r="J75" s="70"/>
      <c r="K75" s="70"/>
      <c r="Q75" s="800" t="s">
        <v>7286</v>
      </c>
    </row>
    <row r="76" spans="2:17" x14ac:dyDescent="0.25">
      <c r="B76" s="509" t="s">
        <v>7178</v>
      </c>
      <c r="C76" s="354"/>
      <c r="D76" s="926">
        <f>88502-20107+8952-23514</f>
        <v>53833</v>
      </c>
      <c r="E76" s="356"/>
      <c r="F76" s="357">
        <v>62131</v>
      </c>
      <c r="G76" s="932"/>
      <c r="H76" s="70"/>
      <c r="I76" s="809">
        <f>8952-23514</f>
        <v>-14562</v>
      </c>
      <c r="J76" s="809"/>
      <c r="K76" s="70"/>
      <c r="Q76" s="801">
        <f>(-20106854.06/1000)</f>
        <v>-20106.854059999998</v>
      </c>
    </row>
    <row r="77" spans="2:17" x14ac:dyDescent="0.25">
      <c r="B77" s="509" t="s">
        <v>7179</v>
      </c>
      <c r="C77" s="354"/>
      <c r="D77" s="355">
        <f>59592-10840</f>
        <v>48752</v>
      </c>
      <c r="E77" s="356"/>
      <c r="F77" s="355">
        <v>57808</v>
      </c>
      <c r="G77" s="932"/>
      <c r="H77" s="70"/>
      <c r="I77" s="912" t="s">
        <v>7351</v>
      </c>
      <c r="J77" s="809"/>
      <c r="K77" s="70"/>
    </row>
    <row r="78" spans="2:17" x14ac:dyDescent="0.25">
      <c r="B78" s="509" t="s">
        <v>4494</v>
      </c>
      <c r="C78" s="354"/>
      <c r="D78" s="355" t="e">
        <f>ROUND(#REF!/1000,0)</f>
        <v>#REF!</v>
      </c>
      <c r="E78" s="356"/>
      <c r="F78" s="355">
        <v>8657</v>
      </c>
      <c r="G78" s="932"/>
      <c r="H78" s="70"/>
      <c r="I78" s="809"/>
      <c r="J78" s="809"/>
      <c r="K78" s="70"/>
    </row>
    <row r="79" spans="2:17" x14ac:dyDescent="0.25">
      <c r="B79" s="509" t="s">
        <v>4378</v>
      </c>
      <c r="C79" s="354"/>
      <c r="D79" s="355" t="e">
        <f>ROUND(#REF!/1000,0)+1960</f>
        <v>#REF!</v>
      </c>
      <c r="E79" s="356"/>
      <c r="F79" s="355">
        <v>4409</v>
      </c>
      <c r="G79" s="932"/>
      <c r="H79" s="70"/>
      <c r="I79" s="912" t="s">
        <v>7352</v>
      </c>
      <c r="J79" s="809"/>
      <c r="K79" s="70"/>
    </row>
    <row r="80" spans="2:17" x14ac:dyDescent="0.25">
      <c r="B80" s="509" t="s">
        <v>6814</v>
      </c>
      <c r="C80" s="358"/>
      <c r="D80" s="355" t="e">
        <f>ROUND(#REF!/1000,0)-7218</f>
        <v>#REF!</v>
      </c>
      <c r="E80" s="359"/>
      <c r="F80" s="355">
        <v>14723</v>
      </c>
      <c r="G80" s="932"/>
      <c r="H80" s="70"/>
      <c r="I80" s="809">
        <f>-7218406.28/1000</f>
        <v>-7218.4062800000002</v>
      </c>
      <c r="J80" s="809"/>
      <c r="K80" s="70"/>
    </row>
    <row r="81" spans="2:13" x14ac:dyDescent="0.25">
      <c r="B81" s="933" t="s">
        <v>4503</v>
      </c>
      <c r="C81" s="934"/>
      <c r="D81" s="778" t="e">
        <f>SUM(D76:D80)</f>
        <v>#REF!</v>
      </c>
      <c r="E81" s="779"/>
      <c r="F81" s="778">
        <f>SUM(F76:F80)</f>
        <v>147728</v>
      </c>
      <c r="G81" s="935"/>
      <c r="H81" s="70"/>
      <c r="I81" s="556" t="e">
        <f>ROUND(('1. BP (mil)'!H16-D81),0)</f>
        <v>#REF!</v>
      </c>
      <c r="J81" s="556">
        <f>ROUND(('1. BP (mil)'!J16-F81),0)</f>
        <v>0</v>
      </c>
      <c r="K81" s="70"/>
      <c r="M81" s="786"/>
    </row>
    <row r="82" spans="2:13" ht="11.25" customHeight="1" x14ac:dyDescent="0.25">
      <c r="B82" s="977"/>
      <c r="C82" s="977"/>
      <c r="D82" s="977"/>
      <c r="E82" s="977"/>
      <c r="F82" s="977"/>
      <c r="G82" s="977"/>
      <c r="H82" s="497"/>
      <c r="I82" s="70"/>
      <c r="J82" s="70"/>
      <c r="K82" s="70"/>
    </row>
    <row r="83" spans="2:13" ht="36.75" customHeight="1" x14ac:dyDescent="0.25">
      <c r="B83" s="966" t="s">
        <v>7299</v>
      </c>
      <c r="C83" s="966"/>
      <c r="D83" s="966"/>
      <c r="E83" s="966"/>
      <c r="F83" s="966"/>
      <c r="G83" s="966"/>
      <c r="H83" s="498"/>
      <c r="I83" s="70"/>
      <c r="J83" s="70"/>
      <c r="K83" s="70"/>
    </row>
    <row r="84" spans="2:13" ht="12.75" customHeight="1" x14ac:dyDescent="0.25">
      <c r="B84" s="497"/>
      <c r="C84" s="497"/>
      <c r="D84" s="497"/>
      <c r="E84" s="497"/>
      <c r="F84" s="497"/>
      <c r="G84" s="497"/>
      <c r="H84" s="497"/>
      <c r="I84" s="70"/>
      <c r="J84" s="70"/>
      <c r="K84" s="70"/>
    </row>
    <row r="85" spans="2:13" ht="39.75" customHeight="1" x14ac:dyDescent="0.25">
      <c r="B85" s="966" t="s">
        <v>7259</v>
      </c>
      <c r="C85" s="966"/>
      <c r="D85" s="966"/>
      <c r="E85" s="966"/>
      <c r="F85" s="966"/>
      <c r="G85" s="966"/>
      <c r="H85" s="498"/>
      <c r="I85" s="70"/>
      <c r="J85" s="70"/>
      <c r="K85" s="70"/>
    </row>
    <row r="86" spans="2:13" x14ac:dyDescent="0.25">
      <c r="B86" s="977"/>
      <c r="C86" s="977"/>
      <c r="D86" s="977"/>
      <c r="E86" s="977"/>
      <c r="F86" s="977"/>
      <c r="G86" s="977"/>
      <c r="H86" s="497"/>
      <c r="I86" s="70"/>
      <c r="J86" s="70"/>
      <c r="K86" s="70"/>
    </row>
    <row r="87" spans="2:13" x14ac:dyDescent="0.25">
      <c r="B87" s="986" t="e">
        <f>CONCATENATE(#REF!," - IMPOSTOS E CONTRIBUIÇÕES A RECUPERAR/COMPENSAR")</f>
        <v>#REF!</v>
      </c>
      <c r="C87" s="986"/>
      <c r="D87" s="986"/>
      <c r="E87" s="986"/>
      <c r="F87" s="986"/>
      <c r="G87" s="986"/>
      <c r="H87" s="814"/>
      <c r="I87" s="70"/>
      <c r="J87" s="70"/>
      <c r="K87" s="70"/>
    </row>
    <row r="88" spans="2:13" ht="105.75" customHeight="1" x14ac:dyDescent="0.25">
      <c r="B88" s="966" t="s">
        <v>7120</v>
      </c>
      <c r="C88" s="966"/>
      <c r="D88" s="966"/>
      <c r="E88" s="966"/>
      <c r="F88" s="966"/>
      <c r="G88" s="966"/>
      <c r="H88" s="498"/>
      <c r="I88" s="70"/>
      <c r="J88" s="70"/>
      <c r="K88" s="70"/>
    </row>
    <row r="89" spans="2:13" x14ac:dyDescent="0.25">
      <c r="B89" s="977"/>
      <c r="C89" s="977"/>
      <c r="D89" s="977"/>
      <c r="E89" s="977"/>
      <c r="F89" s="977"/>
      <c r="G89" s="977"/>
      <c r="H89" s="497"/>
      <c r="I89" s="70"/>
      <c r="J89" s="70"/>
      <c r="K89" s="70"/>
    </row>
    <row r="90" spans="2:13" x14ac:dyDescent="0.25">
      <c r="B90" s="499" t="s">
        <v>6818</v>
      </c>
      <c r="C90" s="500"/>
      <c r="D90" s="501" t="str">
        <f>D75</f>
        <v xml:space="preserve"> Dezembro 2025</v>
      </c>
      <c r="E90" s="502"/>
      <c r="F90" s="501" t="str">
        <f>F75</f>
        <v xml:space="preserve"> Dezembro 2024</v>
      </c>
      <c r="G90" s="503"/>
      <c r="H90" s="70"/>
      <c r="I90" s="699">
        <v>25</v>
      </c>
      <c r="J90" s="699">
        <v>24</v>
      </c>
      <c r="K90" s="70"/>
    </row>
    <row r="91" spans="2:13" x14ac:dyDescent="0.25">
      <c r="B91" s="510" t="s">
        <v>4495</v>
      </c>
      <c r="C91" s="372"/>
      <c r="D91" s="355" t="e">
        <f>ROUND(#REF!/1000,0)</f>
        <v>#REF!</v>
      </c>
      <c r="E91" s="92"/>
      <c r="F91" s="355">
        <v>1075</v>
      </c>
      <c r="G91" s="505"/>
      <c r="H91" s="70"/>
      <c r="I91" s="70"/>
      <c r="J91" s="70"/>
      <c r="K91" s="70"/>
    </row>
    <row r="92" spans="2:13" x14ac:dyDescent="0.25">
      <c r="B92" s="509" t="s">
        <v>7180</v>
      </c>
      <c r="C92" s="372"/>
      <c r="D92" s="355" t="e">
        <f>ROUND((#REF!+#REF!)/1000,0)-1</f>
        <v>#REF!</v>
      </c>
      <c r="E92" s="92"/>
      <c r="F92" s="355">
        <v>2723</v>
      </c>
      <c r="G92" s="505"/>
      <c r="H92" s="70"/>
      <c r="I92" s="698" t="s">
        <v>7233</v>
      </c>
      <c r="J92" s="70"/>
      <c r="K92" s="70"/>
    </row>
    <row r="93" spans="2:13" x14ac:dyDescent="0.25">
      <c r="B93" s="509" t="s">
        <v>5546</v>
      </c>
      <c r="C93" s="372"/>
      <c r="D93" s="355" t="e">
        <f>ROUND(#REF!/1000,0)</f>
        <v>#REF!</v>
      </c>
      <c r="E93" s="92"/>
      <c r="F93" s="355">
        <v>27</v>
      </c>
      <c r="G93" s="505"/>
      <c r="H93" s="70"/>
      <c r="I93" s="70"/>
      <c r="J93" s="70"/>
      <c r="K93" s="70"/>
    </row>
    <row r="94" spans="2:13" x14ac:dyDescent="0.25">
      <c r="B94" s="510" t="s">
        <v>4496</v>
      </c>
      <c r="C94" s="372"/>
      <c r="D94" s="355" t="e">
        <f>ROUND(#REF!/1000,0)</f>
        <v>#REF!</v>
      </c>
      <c r="E94" s="359"/>
      <c r="F94" s="355">
        <v>3158</v>
      </c>
      <c r="G94" s="505"/>
      <c r="H94" s="70"/>
      <c r="I94" s="70"/>
      <c r="J94" s="70"/>
      <c r="K94" s="70"/>
    </row>
    <row r="95" spans="2:13" x14ac:dyDescent="0.25">
      <c r="B95" s="510" t="s">
        <v>4497</v>
      </c>
      <c r="C95" s="372"/>
      <c r="D95" s="355" t="e">
        <f>ROUND(#REF!/1000,0)</f>
        <v>#REF!</v>
      </c>
      <c r="E95" s="359"/>
      <c r="F95" s="355">
        <v>684</v>
      </c>
      <c r="G95" s="505"/>
      <c r="H95" s="70"/>
      <c r="I95" s="70"/>
      <c r="J95" s="70"/>
      <c r="K95" s="70"/>
    </row>
    <row r="96" spans="2:13" x14ac:dyDescent="0.25">
      <c r="B96" s="510"/>
      <c r="C96" s="372"/>
      <c r="D96" s="353" t="e">
        <f>SUM(D91:D95)</f>
        <v>#REF!</v>
      </c>
      <c r="E96" s="71"/>
      <c r="F96" s="353">
        <f>SUM(F91:F95)</f>
        <v>7667</v>
      </c>
      <c r="G96" s="505"/>
      <c r="H96" s="70"/>
      <c r="I96" s="70"/>
      <c r="J96" s="70"/>
      <c r="K96" s="70"/>
    </row>
    <row r="97" spans="2:17" x14ac:dyDescent="0.25">
      <c r="B97" s="510"/>
      <c r="C97" s="372"/>
      <c r="D97" s="359"/>
      <c r="E97" s="359"/>
      <c r="F97" s="359"/>
      <c r="G97" s="505"/>
      <c r="H97" s="70"/>
      <c r="I97" s="70"/>
      <c r="J97" s="70"/>
      <c r="K97" s="70"/>
    </row>
    <row r="98" spans="2:17" x14ac:dyDescent="0.25">
      <c r="B98" s="511" t="s">
        <v>6819</v>
      </c>
      <c r="C98" s="372"/>
      <c r="D98" s="365" t="str">
        <f>D90</f>
        <v xml:space="preserve"> Dezembro 2025</v>
      </c>
      <c r="E98" s="359"/>
      <c r="F98" s="365" t="str">
        <f>F90</f>
        <v xml:space="preserve"> Dezembro 2024</v>
      </c>
      <c r="G98" s="505"/>
      <c r="H98" s="70"/>
      <c r="I98" s="70"/>
      <c r="J98" s="70"/>
      <c r="K98" s="70"/>
    </row>
    <row r="99" spans="2:17" x14ac:dyDescent="0.25">
      <c r="B99" s="510"/>
      <c r="C99" s="372"/>
      <c r="D99" s="359"/>
      <c r="E99" s="359"/>
      <c r="F99" s="359"/>
      <c r="G99" s="505"/>
      <c r="H99" s="70"/>
      <c r="I99" s="70"/>
      <c r="J99" s="70"/>
      <c r="K99" s="70"/>
    </row>
    <row r="100" spans="2:17" x14ac:dyDescent="0.25">
      <c r="B100" s="510" t="s">
        <v>4498</v>
      </c>
      <c r="C100" s="372"/>
      <c r="D100" s="355" t="e">
        <f>ROUND(#REF!/1000,0)</f>
        <v>#REF!</v>
      </c>
      <c r="E100" s="359"/>
      <c r="F100" s="362">
        <v>3863</v>
      </c>
      <c r="G100" s="505"/>
      <c r="H100" s="70"/>
      <c r="I100" s="70"/>
      <c r="J100" s="70"/>
      <c r="K100" s="70"/>
    </row>
    <row r="101" spans="2:17" x14ac:dyDescent="0.25">
      <c r="B101" s="510" t="s">
        <v>4499</v>
      </c>
      <c r="C101" s="372"/>
      <c r="D101" s="364">
        <v>0</v>
      </c>
      <c r="E101" s="363"/>
      <c r="F101" s="364">
        <v>0</v>
      </c>
      <c r="G101" s="505"/>
      <c r="H101" s="70"/>
      <c r="I101" s="70"/>
      <c r="J101" s="70"/>
      <c r="K101" s="70"/>
    </row>
    <row r="102" spans="2:17" x14ac:dyDescent="0.25">
      <c r="B102" s="510"/>
      <c r="C102" s="372"/>
      <c r="D102" s="353" t="e">
        <f>SUM(D100:D101)</f>
        <v>#REF!</v>
      </c>
      <c r="E102" s="71"/>
      <c r="F102" s="353">
        <f>SUM(F100:F101)</f>
        <v>3863</v>
      </c>
      <c r="G102" s="505"/>
      <c r="H102" s="70"/>
      <c r="I102" s="70"/>
      <c r="J102" s="70"/>
      <c r="K102" s="70"/>
    </row>
    <row r="103" spans="2:17" x14ac:dyDescent="0.25">
      <c r="B103" s="510"/>
      <c r="C103" s="372"/>
      <c r="D103" s="359"/>
      <c r="E103" s="359"/>
      <c r="F103" s="359"/>
      <c r="G103" s="505"/>
      <c r="H103" s="70"/>
      <c r="K103" s="70"/>
    </row>
    <row r="104" spans="2:17" x14ac:dyDescent="0.25">
      <c r="B104" s="506" t="s">
        <v>6820</v>
      </c>
      <c r="C104" s="507"/>
      <c r="D104" s="562" t="e">
        <f>D96+D102</f>
        <v>#REF!</v>
      </c>
      <c r="E104" s="563"/>
      <c r="F104" s="562">
        <f>F96+F102</f>
        <v>11530</v>
      </c>
      <c r="G104" s="508"/>
      <c r="H104" s="70"/>
      <c r="I104" s="556" t="e">
        <f>ROUND(('1. BP (mil)'!H17-D104),0)</f>
        <v>#REF!</v>
      </c>
      <c r="J104" s="556">
        <f>ROUND(('1. BP (mil)'!J17-F104),0)</f>
        <v>0</v>
      </c>
      <c r="K104" s="70"/>
    </row>
    <row r="105" spans="2:17" ht="11.25" customHeight="1" x14ac:dyDescent="0.25">
      <c r="B105" s="977"/>
      <c r="C105" s="977"/>
      <c r="D105" s="977"/>
      <c r="E105" s="977"/>
      <c r="F105" s="977"/>
      <c r="G105" s="977"/>
      <c r="H105" s="497"/>
      <c r="I105" s="70"/>
      <c r="J105" s="70"/>
      <c r="K105" s="70"/>
    </row>
    <row r="106" spans="2:17" ht="16.5" x14ac:dyDescent="0.25">
      <c r="B106" s="985" t="e">
        <f>CONCATENATE(#REF!," - OUTROS CRÉDITOS")</f>
        <v>#REF!</v>
      </c>
      <c r="C106" s="985"/>
      <c r="D106" s="985"/>
      <c r="E106" s="985"/>
      <c r="F106" s="985"/>
      <c r="G106" s="985"/>
      <c r="H106" s="811"/>
      <c r="I106" s="75"/>
      <c r="J106" s="75"/>
      <c r="K106" s="75"/>
    </row>
    <row r="107" spans="2:17" x14ac:dyDescent="0.25">
      <c r="B107" s="977"/>
      <c r="C107" s="977"/>
      <c r="D107" s="977"/>
      <c r="E107" s="977"/>
      <c r="F107" s="977"/>
      <c r="G107" s="977"/>
      <c r="H107" s="497"/>
      <c r="I107" s="70"/>
      <c r="J107" s="70"/>
      <c r="K107" s="70"/>
    </row>
    <row r="108" spans="2:17" x14ac:dyDescent="0.25">
      <c r="B108" s="499" t="s">
        <v>6825</v>
      </c>
      <c r="C108" s="500"/>
      <c r="D108" s="501" t="str">
        <f>D98</f>
        <v xml:space="preserve"> Dezembro 2025</v>
      </c>
      <c r="E108" s="502"/>
      <c r="F108" s="501" t="str">
        <f>F98</f>
        <v xml:space="preserve"> Dezembro 2024</v>
      </c>
      <c r="G108" s="503"/>
      <c r="H108" s="70"/>
      <c r="I108" s="699">
        <v>25</v>
      </c>
      <c r="J108" s="699">
        <v>24</v>
      </c>
      <c r="K108" s="70"/>
      <c r="Q108" s="800" t="s">
        <v>7286</v>
      </c>
    </row>
    <row r="109" spans="2:17" x14ac:dyDescent="0.25">
      <c r="B109" s="512" t="s">
        <v>6822</v>
      </c>
      <c r="C109" s="372"/>
      <c r="D109" s="366" t="e">
        <f>ROUND(#REF!/1000,0)-2114</f>
        <v>#REF!</v>
      </c>
      <c r="E109" s="367"/>
      <c r="F109" s="366">
        <v>10585</v>
      </c>
      <c r="G109" s="505"/>
      <c r="H109" s="70"/>
      <c r="I109" s="729" t="s">
        <v>7337</v>
      </c>
      <c r="J109" s="699"/>
      <c r="K109" s="70"/>
    </row>
    <row r="110" spans="2:17" x14ac:dyDescent="0.25">
      <c r="B110" s="512" t="s">
        <v>6841</v>
      </c>
      <c r="C110" s="372"/>
      <c r="D110" s="364" t="e">
        <f>ROUND(#REF!/1000,0)</f>
        <v>#REF!</v>
      </c>
      <c r="E110" s="367"/>
      <c r="F110" s="366">
        <v>4392</v>
      </c>
      <c r="G110" s="505"/>
      <c r="H110" s="70"/>
      <c r="I110" s="699"/>
      <c r="J110" s="699"/>
      <c r="K110" s="479"/>
    </row>
    <row r="111" spans="2:17" x14ac:dyDescent="0.25">
      <c r="B111" s="513" t="s">
        <v>7353</v>
      </c>
      <c r="C111" s="372"/>
      <c r="D111" s="366" t="e">
        <f>ROUND((#REF!)/1000,0)</f>
        <v>#REF!</v>
      </c>
      <c r="E111" s="367"/>
      <c r="F111" s="366">
        <v>4150</v>
      </c>
      <c r="G111" s="505"/>
      <c r="H111" s="70"/>
      <c r="I111" s="699"/>
      <c r="J111" s="699"/>
      <c r="K111" s="70"/>
      <c r="Q111" s="801">
        <f>(69802104.75/1000)</f>
        <v>69802.104749999999</v>
      </c>
    </row>
    <row r="112" spans="2:17" hidden="1" x14ac:dyDescent="0.25">
      <c r="B112" s="512" t="s">
        <v>6824</v>
      </c>
      <c r="C112" s="372"/>
      <c r="D112" s="93">
        <v>0</v>
      </c>
      <c r="E112" s="367"/>
      <c r="F112" s="93">
        <v>0</v>
      </c>
      <c r="G112" s="505"/>
      <c r="H112" s="70"/>
      <c r="K112" s="70"/>
    </row>
    <row r="113" spans="2:11" x14ac:dyDescent="0.25">
      <c r="B113" s="506" t="s">
        <v>4503</v>
      </c>
      <c r="C113" s="507"/>
      <c r="D113" s="562" t="e">
        <f>SUM(D109:D112)</f>
        <v>#REF!</v>
      </c>
      <c r="E113" s="563"/>
      <c r="F113" s="562">
        <f>SUM(F109:F112)</f>
        <v>19127</v>
      </c>
      <c r="G113" s="508"/>
      <c r="H113" s="70"/>
      <c r="I113" s="556" t="e">
        <f>ROUND(('1. BP (mil)'!H18-D113),0)</f>
        <v>#REF!</v>
      </c>
      <c r="J113" s="556">
        <f>ROUND(('1. BP (mil)'!J18-F113),0)</f>
        <v>0</v>
      </c>
      <c r="K113" s="70" t="s">
        <v>7289</v>
      </c>
    </row>
    <row r="114" spans="2:11" ht="15.75" customHeight="1" x14ac:dyDescent="0.25">
      <c r="B114" s="808"/>
      <c r="C114" s="351"/>
      <c r="D114" s="780"/>
      <c r="E114" s="408"/>
      <c r="F114" s="780"/>
      <c r="G114" s="70"/>
      <c r="H114" s="70"/>
      <c r="I114" s="809"/>
      <c r="J114" s="809"/>
      <c r="K114" s="70"/>
    </row>
    <row r="115" spans="2:11" x14ac:dyDescent="0.25">
      <c r="B115" s="985" t="e">
        <f>CONCATENATE(#REF!," - DESPESAS A REALIZAR")</f>
        <v>#REF!</v>
      </c>
      <c r="C115" s="985"/>
      <c r="D115" s="985"/>
      <c r="E115" s="985"/>
      <c r="F115" s="985"/>
      <c r="G115" s="985"/>
      <c r="H115" s="811"/>
      <c r="I115" s="809"/>
      <c r="J115" s="809"/>
      <c r="K115" s="70"/>
    </row>
    <row r="116" spans="2:11" ht="11.25" customHeight="1" x14ac:dyDescent="0.25">
      <c r="B116" s="977"/>
      <c r="C116" s="977"/>
      <c r="D116" s="977"/>
      <c r="E116" s="977"/>
      <c r="F116" s="977"/>
      <c r="G116" s="977"/>
      <c r="H116" s="497"/>
      <c r="I116" s="809"/>
      <c r="J116" s="809"/>
      <c r="K116" s="70"/>
    </row>
    <row r="117" spans="2:11" ht="48" customHeight="1" x14ac:dyDescent="0.25">
      <c r="B117" s="999" t="s">
        <v>7342</v>
      </c>
      <c r="C117" s="999"/>
      <c r="D117" s="999"/>
      <c r="E117" s="999"/>
      <c r="F117" s="999"/>
      <c r="G117" s="999"/>
      <c r="H117" s="807"/>
      <c r="I117" s="809"/>
      <c r="J117" s="809"/>
      <c r="K117" s="70"/>
    </row>
    <row r="118" spans="2:11" ht="15.75" customHeight="1" x14ac:dyDescent="0.25">
      <c r="B118" s="835"/>
      <c r="C118" s="836"/>
      <c r="D118" s="840" t="s">
        <v>4510</v>
      </c>
      <c r="E118" s="836"/>
      <c r="F118" s="841" t="s">
        <v>4514</v>
      </c>
      <c r="G118" s="807"/>
      <c r="H118" s="807"/>
      <c r="I118" s="809"/>
      <c r="J118" s="809"/>
      <c r="K118" s="70"/>
    </row>
    <row r="119" spans="2:11" ht="15.75" customHeight="1" x14ac:dyDescent="0.25">
      <c r="B119" s="837" t="s">
        <v>7318</v>
      </c>
      <c r="C119" s="838"/>
      <c r="D119" s="842">
        <v>21118</v>
      </c>
      <c r="E119" s="839"/>
      <c r="F119" s="843">
        <v>0</v>
      </c>
      <c r="G119" s="807"/>
      <c r="H119" s="807"/>
      <c r="I119" s="809"/>
      <c r="J119" s="809"/>
      <c r="K119" s="70"/>
    </row>
    <row r="120" spans="2:11" ht="15.75" customHeight="1" x14ac:dyDescent="0.25">
      <c r="B120" s="807"/>
      <c r="C120" s="807"/>
      <c r="D120" s="364"/>
      <c r="E120" s="364"/>
      <c r="F120" s="364"/>
      <c r="G120" s="807"/>
      <c r="H120" s="807"/>
      <c r="I120" s="809"/>
      <c r="J120" s="809"/>
      <c r="K120" s="70"/>
    </row>
    <row r="121" spans="2:11" ht="16.5" x14ac:dyDescent="0.25">
      <c r="B121" s="985" t="e">
        <f>CONCATENATE(#REF!," - CONTAS A RECEBER (NÃO CIRCULANTE)")</f>
        <v>#REF!</v>
      </c>
      <c r="C121" s="985"/>
      <c r="D121" s="985"/>
      <c r="E121" s="985"/>
      <c r="F121" s="985"/>
      <c r="G121" s="985"/>
      <c r="H121" s="811"/>
      <c r="I121" s="75"/>
      <c r="J121" s="75"/>
      <c r="K121" s="75"/>
    </row>
    <row r="122" spans="2:11" x14ac:dyDescent="0.25">
      <c r="B122" s="977" t="s">
        <v>6826</v>
      </c>
      <c r="C122" s="977"/>
      <c r="D122" s="977"/>
      <c r="E122" s="977"/>
      <c r="F122" s="977"/>
      <c r="G122" s="977"/>
      <c r="H122" s="497"/>
      <c r="I122" s="70"/>
      <c r="J122" s="70"/>
      <c r="K122" s="70"/>
    </row>
    <row r="123" spans="2:11" x14ac:dyDescent="0.25">
      <c r="B123" s="977"/>
      <c r="C123" s="977"/>
      <c r="D123" s="977"/>
      <c r="E123" s="977"/>
      <c r="F123" s="977"/>
      <c r="G123" s="977"/>
      <c r="H123" s="497"/>
      <c r="I123" s="70"/>
      <c r="J123" s="70"/>
      <c r="K123" s="70"/>
    </row>
    <row r="124" spans="2:11" x14ac:dyDescent="0.25">
      <c r="B124" s="499" t="s">
        <v>6827</v>
      </c>
      <c r="C124" s="500"/>
      <c r="D124" s="501" t="str">
        <f>D108</f>
        <v xml:space="preserve"> Dezembro 2025</v>
      </c>
      <c r="E124" s="502"/>
      <c r="F124" s="501" t="str">
        <f>F108</f>
        <v xml:space="preserve"> Dezembro 2024</v>
      </c>
      <c r="G124" s="503"/>
      <c r="H124" s="70"/>
      <c r="I124" s="70"/>
      <c r="J124" s="70"/>
      <c r="K124" s="70"/>
    </row>
    <row r="125" spans="2:11" x14ac:dyDescent="0.25">
      <c r="B125" s="514" t="s">
        <v>7226</v>
      </c>
      <c r="C125" s="372"/>
      <c r="D125" s="366"/>
      <c r="E125" s="366"/>
      <c r="F125" s="366"/>
      <c r="G125" s="505"/>
      <c r="H125" s="70"/>
      <c r="I125" s="70"/>
      <c r="J125" s="70"/>
      <c r="K125" s="70"/>
    </row>
    <row r="126" spans="2:11" x14ac:dyDescent="0.25">
      <c r="B126" s="514" t="s">
        <v>7227</v>
      </c>
      <c r="C126" s="372"/>
      <c r="D126" s="368">
        <f>255660+1</f>
        <v>255661</v>
      </c>
      <c r="E126" s="368"/>
      <c r="F126" s="368">
        <v>258338</v>
      </c>
      <c r="G126" s="505"/>
      <c r="H126" s="70"/>
      <c r="I126" s="698" t="s">
        <v>7232</v>
      </c>
      <c r="J126" s="699"/>
      <c r="K126" s="699">
        <v>121219802</v>
      </c>
    </row>
    <row r="127" spans="2:11" x14ac:dyDescent="0.25">
      <c r="B127" s="514" t="s">
        <v>7228</v>
      </c>
      <c r="C127" s="372"/>
      <c r="D127" s="364">
        <f>72097</f>
        <v>72097</v>
      </c>
      <c r="E127" s="363"/>
      <c r="F127" s="364">
        <v>22834</v>
      </c>
      <c r="G127" s="505"/>
      <c r="H127" s="70"/>
      <c r="J127" s="699"/>
      <c r="K127" s="699">
        <v>121219802</v>
      </c>
    </row>
    <row r="128" spans="2:11" x14ac:dyDescent="0.25">
      <c r="B128" s="506" t="s">
        <v>7231</v>
      </c>
      <c r="C128" s="351"/>
      <c r="D128" s="562">
        <f>SUM(D126:D127)</f>
        <v>327758</v>
      </c>
      <c r="E128" s="408"/>
      <c r="F128" s="562">
        <f>SUM(F126:F127)</f>
        <v>281172</v>
      </c>
      <c r="G128" s="505"/>
      <c r="H128" s="70"/>
      <c r="J128" s="699"/>
      <c r="K128" s="699"/>
    </row>
    <row r="129" spans="2:19" x14ac:dyDescent="0.25">
      <c r="B129" s="694" t="s">
        <v>7229</v>
      </c>
      <c r="C129" s="372"/>
      <c r="D129" s="73"/>
      <c r="E129" s="71"/>
      <c r="F129" s="73"/>
      <c r="G129" s="505"/>
      <c r="H129" s="70"/>
      <c r="J129" s="699"/>
      <c r="K129" s="699"/>
    </row>
    <row r="130" spans="2:19" x14ac:dyDescent="0.25">
      <c r="B130" s="514" t="s">
        <v>7230</v>
      </c>
      <c r="C130" s="372"/>
      <c r="D130" s="368" t="e">
        <f>ROUND(#REF!/1000,0)</f>
        <v>#REF!</v>
      </c>
      <c r="E130" s="368"/>
      <c r="F130" s="368">
        <v>28356</v>
      </c>
      <c r="G130" s="505"/>
      <c r="H130" s="70"/>
      <c r="J130" s="699"/>
      <c r="K130" s="699">
        <v>121219806</v>
      </c>
    </row>
    <row r="131" spans="2:19" x14ac:dyDescent="0.25">
      <c r="B131" s="506" t="s">
        <v>4503</v>
      </c>
      <c r="C131" s="507"/>
      <c r="D131" s="562" t="e">
        <f>D128+D130</f>
        <v>#REF!</v>
      </c>
      <c r="E131" s="563"/>
      <c r="F131" s="562">
        <f>F128+F130</f>
        <v>309528</v>
      </c>
      <c r="G131" s="508"/>
      <c r="H131" s="70"/>
      <c r="I131" s="556" t="e">
        <f>ROUND(('1. BP (mil)'!H24-D131),0)</f>
        <v>#REF!</v>
      </c>
      <c r="J131" s="556">
        <f>ROUND(('1. BP (mil)'!J24-F131),0)</f>
        <v>0</v>
      </c>
      <c r="K131" s="70"/>
    </row>
    <row r="132" spans="2:19" ht="17.25" customHeight="1" x14ac:dyDescent="0.25">
      <c r="B132" s="977"/>
      <c r="C132" s="977"/>
      <c r="D132" s="977"/>
      <c r="E132" s="977"/>
      <c r="F132" s="977"/>
      <c r="G132" s="977"/>
      <c r="H132" s="497"/>
      <c r="I132" s="70"/>
      <c r="J132" s="70"/>
      <c r="K132" s="70"/>
    </row>
    <row r="133" spans="2:19" ht="50.25" customHeight="1" x14ac:dyDescent="0.25">
      <c r="B133" s="977" t="e">
        <f>CONCATENATE("a) Subvenções a receber - correspondem os valores a receber do Tesouro Nacional, a título de subvenções para pagamento das dívidas com o Nucleos (vide Nota ",#REF!,") e as prováveis perdas referentes aos processos judiciais (vide Nota ",#REF!,")",".")</f>
        <v>#REF!</v>
      </c>
      <c r="C133" s="977"/>
      <c r="D133" s="977"/>
      <c r="E133" s="977"/>
      <c r="F133" s="977"/>
      <c r="G133" s="977"/>
      <c r="H133" s="497"/>
      <c r="I133" s="70"/>
      <c r="J133" s="70"/>
      <c r="K133" s="70"/>
      <c r="S133" s="721"/>
    </row>
    <row r="134" spans="2:19" x14ac:dyDescent="0.25">
      <c r="B134" s="977"/>
      <c r="C134" s="977"/>
      <c r="D134" s="977"/>
      <c r="E134" s="977"/>
      <c r="F134" s="977"/>
      <c r="G134" s="977"/>
      <c r="H134" s="497"/>
      <c r="I134" s="70"/>
      <c r="J134" s="70"/>
      <c r="K134" s="70"/>
      <c r="S134" s="721"/>
    </row>
    <row r="135" spans="2:19" x14ac:dyDescent="0.25">
      <c r="B135" s="977" t="s">
        <v>6838</v>
      </c>
      <c r="C135" s="977"/>
      <c r="D135" s="977"/>
      <c r="E135" s="977"/>
      <c r="F135" s="977"/>
      <c r="G135" s="977"/>
      <c r="H135" s="497"/>
      <c r="I135" s="70"/>
      <c r="J135" s="70"/>
      <c r="K135" s="70"/>
    </row>
    <row r="136" spans="2:19" x14ac:dyDescent="0.25">
      <c r="B136" s="977"/>
      <c r="C136" s="977"/>
      <c r="D136" s="977"/>
      <c r="E136" s="977"/>
      <c r="F136" s="977"/>
      <c r="G136" s="977"/>
      <c r="H136" s="497"/>
      <c r="I136" s="70"/>
      <c r="J136" s="70"/>
      <c r="K136" s="70"/>
    </row>
    <row r="137" spans="2:19" x14ac:dyDescent="0.25">
      <c r="B137" s="499" t="s">
        <v>7181</v>
      </c>
      <c r="C137" s="500"/>
      <c r="D137" s="501" t="str">
        <f>D124</f>
        <v xml:space="preserve"> Dezembro 2025</v>
      </c>
      <c r="E137" s="502"/>
      <c r="F137" s="501" t="str">
        <f>F124</f>
        <v xml:space="preserve"> Dezembro 2024</v>
      </c>
      <c r="G137" s="503"/>
      <c r="H137" s="70"/>
      <c r="I137" s="70"/>
      <c r="J137" s="70"/>
      <c r="K137" s="70"/>
    </row>
    <row r="138" spans="2:19" x14ac:dyDescent="0.25">
      <c r="B138" s="782" t="s">
        <v>7261</v>
      </c>
      <c r="C138" s="351"/>
      <c r="D138" s="691"/>
      <c r="E138" s="352"/>
      <c r="F138" s="691"/>
      <c r="G138" s="505"/>
      <c r="H138" s="70"/>
      <c r="I138" s="70"/>
      <c r="J138" s="70"/>
      <c r="K138" s="70"/>
    </row>
    <row r="139" spans="2:19" x14ac:dyDescent="0.25">
      <c r="B139" s="514" t="s">
        <v>7267</v>
      </c>
      <c r="C139" s="372"/>
      <c r="D139" s="366">
        <f>ROUND((23844723.88-3119823)/1000,0)-1</f>
        <v>20724</v>
      </c>
      <c r="E139" s="366"/>
      <c r="F139" s="366">
        <v>21516</v>
      </c>
      <c r="G139" s="505"/>
      <c r="H139" s="70"/>
      <c r="I139" s="823" t="s">
        <v>7233</v>
      </c>
      <c r="K139" s="479" t="s">
        <v>7288</v>
      </c>
    </row>
    <row r="140" spans="2:19" x14ac:dyDescent="0.25">
      <c r="B140" s="514" t="s">
        <v>7268</v>
      </c>
      <c r="C140" s="372"/>
      <c r="D140" s="368">
        <f>ROUND(28788.2/1000,0)</f>
        <v>29</v>
      </c>
      <c r="E140" s="368"/>
      <c r="F140" s="368">
        <v>2</v>
      </c>
      <c r="G140" s="505"/>
      <c r="H140" s="70"/>
      <c r="I140" s="70"/>
      <c r="J140" s="70"/>
      <c r="K140" s="824" t="s">
        <v>7319</v>
      </c>
    </row>
    <row r="141" spans="2:19" x14ac:dyDescent="0.25">
      <c r="B141" s="514" t="s">
        <v>7269</v>
      </c>
      <c r="C141" s="372"/>
      <c r="D141" s="368">
        <f>ROUND(2384529.64/1000,0)</f>
        <v>2385</v>
      </c>
      <c r="E141" s="368"/>
      <c r="F141" s="368">
        <v>1950</v>
      </c>
      <c r="G141" s="505"/>
      <c r="H141" s="70"/>
      <c r="I141" s="70"/>
      <c r="J141" s="70"/>
      <c r="K141" s="70"/>
    </row>
    <row r="142" spans="2:19" x14ac:dyDescent="0.25">
      <c r="B142" s="514" t="s">
        <v>7270</v>
      </c>
      <c r="C142" s="372"/>
      <c r="D142" s="368">
        <f>ROUND(4128535.6/1000,0)</f>
        <v>4129</v>
      </c>
      <c r="E142" s="368"/>
      <c r="F142" s="368">
        <v>4009</v>
      </c>
      <c r="G142" s="505"/>
      <c r="H142" s="70"/>
      <c r="I142" s="70"/>
      <c r="J142" s="70"/>
      <c r="K142" s="70"/>
    </row>
    <row r="143" spans="2:19" x14ac:dyDescent="0.25">
      <c r="B143" s="514" t="s">
        <v>7271</v>
      </c>
      <c r="C143" s="372"/>
      <c r="D143" s="368">
        <f>ROUND(759959.57/1000,0)</f>
        <v>760</v>
      </c>
      <c r="E143" s="368"/>
      <c r="F143" s="368">
        <v>879</v>
      </c>
      <c r="G143" s="505"/>
      <c r="H143" s="70"/>
      <c r="I143" s="822"/>
      <c r="J143" s="70"/>
      <c r="K143" s="70"/>
    </row>
    <row r="144" spans="2:19" x14ac:dyDescent="0.25">
      <c r="B144" s="506" t="s">
        <v>7262</v>
      </c>
      <c r="C144" s="507"/>
      <c r="D144" s="778">
        <f>SUM(D139:D143)</f>
        <v>28027</v>
      </c>
      <c r="E144" s="563"/>
      <c r="F144" s="562">
        <f>SUM(F139:F143)</f>
        <v>28356</v>
      </c>
      <c r="G144" s="508"/>
      <c r="H144" s="70"/>
      <c r="I144" s="556" t="e">
        <f>ROUND((D130-D144),0)</f>
        <v>#REF!</v>
      </c>
      <c r="J144" s="556">
        <f>F130-F144</f>
        <v>0</v>
      </c>
      <c r="K144" s="70"/>
    </row>
    <row r="145" spans="2:17" x14ac:dyDescent="0.25">
      <c r="B145" s="783" t="s">
        <v>7272</v>
      </c>
      <c r="C145" s="351"/>
      <c r="D145" s="780">
        <f>D63</f>
        <v>3120</v>
      </c>
      <c r="E145" s="408"/>
      <c r="F145" s="780" t="s">
        <v>4525</v>
      </c>
      <c r="G145" s="503"/>
      <c r="H145" s="70"/>
      <c r="I145" s="70"/>
      <c r="J145" s="70"/>
      <c r="K145" s="70"/>
    </row>
    <row r="146" spans="2:17" x14ac:dyDescent="0.25">
      <c r="B146" s="506" t="s">
        <v>7263</v>
      </c>
      <c r="C146" s="507"/>
      <c r="D146" s="562">
        <f>D144+D145</f>
        <v>31147</v>
      </c>
      <c r="E146" s="562">
        <f t="shared" ref="E146" si="0">E144+E145</f>
        <v>0</v>
      </c>
      <c r="F146" s="562">
        <f>F144</f>
        <v>28356</v>
      </c>
      <c r="G146" s="508"/>
      <c r="H146" s="70"/>
      <c r="I146" s="70"/>
      <c r="J146" s="70"/>
      <c r="K146" s="70"/>
    </row>
    <row r="147" spans="2:17" x14ac:dyDescent="0.25">
      <c r="B147" s="781"/>
      <c r="C147" s="351"/>
      <c r="D147" s="780"/>
      <c r="E147" s="408"/>
      <c r="F147" s="780"/>
      <c r="G147" s="70"/>
      <c r="H147" s="70"/>
      <c r="I147" s="70"/>
      <c r="J147" s="70"/>
      <c r="K147" s="70"/>
    </row>
    <row r="148" spans="2:17" ht="31.5" customHeight="1" x14ac:dyDescent="0.25">
      <c r="B148" s="964" t="s">
        <v>7292</v>
      </c>
      <c r="C148" s="964"/>
      <c r="D148" s="964"/>
      <c r="E148" s="964"/>
      <c r="F148" s="964"/>
      <c r="G148" s="964"/>
      <c r="H148" s="763"/>
      <c r="I148" s="70"/>
      <c r="J148" s="70"/>
      <c r="K148" s="70"/>
    </row>
    <row r="149" spans="2:17" x14ac:dyDescent="0.25">
      <c r="B149" s="497"/>
      <c r="C149" s="497"/>
      <c r="D149" s="497"/>
      <c r="E149" s="497"/>
      <c r="F149" s="497"/>
      <c r="G149" s="497"/>
      <c r="H149" s="497"/>
      <c r="I149" s="70"/>
      <c r="J149" s="70"/>
      <c r="K149" s="70"/>
    </row>
    <row r="150" spans="2:17" x14ac:dyDescent="0.25">
      <c r="B150" s="986" t="e">
        <f>CONCATENATE(#REF!," - DEPÓSITOS RECURSAIS")</f>
        <v>#REF!</v>
      </c>
      <c r="C150" s="986"/>
      <c r="D150" s="986"/>
      <c r="E150" s="986"/>
      <c r="F150" s="986"/>
      <c r="G150" s="986"/>
      <c r="H150" s="814"/>
      <c r="I150" s="70"/>
      <c r="J150" s="70"/>
      <c r="K150" s="70"/>
      <c r="Q150" s="800" t="s">
        <v>7286</v>
      </c>
    </row>
    <row r="151" spans="2:17" ht="51" customHeight="1" x14ac:dyDescent="0.25">
      <c r="B151" s="966" t="s">
        <v>7182</v>
      </c>
      <c r="C151" s="966"/>
      <c r="D151" s="966"/>
      <c r="E151" s="966"/>
      <c r="F151" s="966"/>
      <c r="G151" s="966"/>
      <c r="H151" s="498"/>
      <c r="I151" s="70"/>
      <c r="J151" s="70"/>
      <c r="K151" s="70"/>
    </row>
    <row r="152" spans="2:17" x14ac:dyDescent="0.25">
      <c r="B152" s="977"/>
      <c r="C152" s="977"/>
      <c r="D152" s="977"/>
      <c r="E152" s="977"/>
      <c r="F152" s="977"/>
      <c r="G152" s="977"/>
      <c r="H152" s="497"/>
      <c r="I152" s="70"/>
      <c r="J152" s="70"/>
      <c r="K152" s="70"/>
    </row>
    <row r="153" spans="2:17" x14ac:dyDescent="0.25">
      <c r="B153" s="499" t="s">
        <v>4526</v>
      </c>
      <c r="C153" s="500"/>
      <c r="D153" s="501" t="str">
        <f>D137</f>
        <v xml:space="preserve"> Dezembro 2025</v>
      </c>
      <c r="E153" s="502"/>
      <c r="F153" s="501" t="str">
        <f>F137</f>
        <v xml:space="preserve"> Dezembro 2024</v>
      </c>
      <c r="G153" s="503"/>
      <c r="H153" s="70"/>
      <c r="I153" s="699">
        <v>25</v>
      </c>
      <c r="J153" s="699">
        <v>24</v>
      </c>
      <c r="K153" s="70"/>
    </row>
    <row r="154" spans="2:17" x14ac:dyDescent="0.25">
      <c r="B154" s="516" t="s">
        <v>6839</v>
      </c>
      <c r="C154" s="372"/>
      <c r="D154" s="366" t="e">
        <f>ROUND(#REF!/1000,0)+1</f>
        <v>#REF!</v>
      </c>
      <c r="E154" s="369"/>
      <c r="F154" s="366">
        <v>516</v>
      </c>
      <c r="G154" s="505"/>
      <c r="H154" s="70"/>
      <c r="I154" s="729" t="s">
        <v>7232</v>
      </c>
      <c r="J154" s="699"/>
      <c r="K154" s="699">
        <v>121210603</v>
      </c>
      <c r="L154" s="728" t="s">
        <v>7240</v>
      </c>
    </row>
    <row r="155" spans="2:17" x14ac:dyDescent="0.25">
      <c r="B155" s="516" t="s">
        <v>6842</v>
      </c>
      <c r="C155" s="372"/>
      <c r="D155" s="366" t="e">
        <f>ROUND(#REF!/1000,0)</f>
        <v>#REF!</v>
      </c>
      <c r="E155" s="369"/>
      <c r="F155" s="366">
        <v>3491</v>
      </c>
      <c r="G155" s="505"/>
      <c r="H155" s="70"/>
      <c r="I155" s="699"/>
      <c r="J155" s="699"/>
      <c r="K155" s="699">
        <v>121210605</v>
      </c>
      <c r="L155" s="728" t="s">
        <v>7240</v>
      </c>
      <c r="Q155" s="801">
        <f>(-1338348.97/1000)</f>
        <v>-1338.34897</v>
      </c>
    </row>
    <row r="156" spans="2:17" hidden="1" x14ac:dyDescent="0.25">
      <c r="B156" s="516" t="s">
        <v>4504</v>
      </c>
      <c r="C156" s="372"/>
      <c r="D156" s="370">
        <v>0</v>
      </c>
      <c r="E156" s="369"/>
      <c r="F156" s="370">
        <v>0</v>
      </c>
      <c r="G156" s="505"/>
      <c r="H156" s="70"/>
      <c r="I156" s="70"/>
      <c r="J156" s="70"/>
      <c r="K156" s="70"/>
    </row>
    <row r="157" spans="2:17" x14ac:dyDescent="0.25">
      <c r="B157" s="506" t="s">
        <v>4503</v>
      </c>
      <c r="C157" s="507"/>
      <c r="D157" s="562" t="e">
        <f>SUM(D154:D156)</f>
        <v>#REF!</v>
      </c>
      <c r="E157" s="563"/>
      <c r="F157" s="562">
        <f>SUM(F154:F156)</f>
        <v>4007</v>
      </c>
      <c r="G157" s="508"/>
      <c r="H157" s="70"/>
      <c r="I157" s="556" t="e">
        <f>ROUND(('1. BP (mil)'!H25-D157),0)</f>
        <v>#REF!</v>
      </c>
      <c r="J157" s="556">
        <f>ROUND(('1. BP (mil)'!J25-F157),0)</f>
        <v>0</v>
      </c>
      <c r="K157" s="70"/>
    </row>
    <row r="158" spans="2:17" x14ac:dyDescent="0.25">
      <c r="B158" s="977"/>
      <c r="C158" s="977"/>
      <c r="D158" s="977"/>
      <c r="E158" s="977"/>
      <c r="F158" s="977"/>
      <c r="G158" s="977"/>
      <c r="H158" s="497"/>
      <c r="I158" s="70"/>
      <c r="J158" s="70"/>
      <c r="K158" s="70"/>
    </row>
    <row r="159" spans="2:17" x14ac:dyDescent="0.25">
      <c r="B159" s="986" t="e">
        <f>CONCATENATE(#REF!," - CAUÇÕES")</f>
        <v>#REF!</v>
      </c>
      <c r="C159" s="986"/>
      <c r="D159" s="986"/>
      <c r="E159" s="986"/>
      <c r="F159" s="986"/>
      <c r="G159" s="986"/>
      <c r="H159" s="814"/>
      <c r="I159" s="70"/>
      <c r="J159" s="70"/>
      <c r="K159" s="70"/>
    </row>
    <row r="160" spans="2:17" ht="35.25" customHeight="1" x14ac:dyDescent="0.25">
      <c r="B160" s="966" t="s">
        <v>4529</v>
      </c>
      <c r="C160" s="966"/>
      <c r="D160" s="966"/>
      <c r="E160" s="966"/>
      <c r="F160" s="966"/>
      <c r="G160" s="966"/>
      <c r="H160" s="498"/>
      <c r="I160" s="70"/>
      <c r="J160" s="70"/>
      <c r="K160" s="70"/>
    </row>
    <row r="161" spans="2:90" x14ac:dyDescent="0.25">
      <c r="B161" s="977"/>
      <c r="C161" s="977"/>
      <c r="D161" s="977"/>
      <c r="E161" s="977"/>
      <c r="F161" s="977"/>
      <c r="G161" s="977"/>
      <c r="H161" s="497"/>
      <c r="I161" s="70"/>
      <c r="J161" s="70"/>
      <c r="K161" s="70"/>
    </row>
    <row r="162" spans="2:90" x14ac:dyDescent="0.25">
      <c r="B162" s="499" t="s">
        <v>6840</v>
      </c>
      <c r="C162" s="500"/>
      <c r="D162" s="501" t="str">
        <f>D153</f>
        <v xml:space="preserve"> Dezembro 2025</v>
      </c>
      <c r="E162" s="502"/>
      <c r="F162" s="501" t="str">
        <f>F153</f>
        <v xml:space="preserve"> Dezembro 2024</v>
      </c>
      <c r="G162" s="503"/>
      <c r="H162" s="70"/>
      <c r="I162" s="70"/>
      <c r="J162" s="70"/>
      <c r="K162" s="70"/>
      <c r="Q162" s="800" t="s">
        <v>7286</v>
      </c>
    </row>
    <row r="163" spans="2:90" x14ac:dyDescent="0.25">
      <c r="B163" s="516" t="s">
        <v>4493</v>
      </c>
      <c r="C163" s="372"/>
      <c r="D163" s="366">
        <f>3446774.46/1000-(232493.35/1000)</f>
        <v>3214.2811099999999</v>
      </c>
      <c r="E163" s="369"/>
      <c r="F163" s="366">
        <v>3447</v>
      </c>
      <c r="G163" s="505"/>
      <c r="H163" s="70"/>
      <c r="I163" s="70"/>
      <c r="J163" s="70"/>
      <c r="K163" s="70"/>
      <c r="Q163" s="801">
        <f>(-232493.35/1000)</f>
        <v>-232.49334999999999</v>
      </c>
    </row>
    <row r="164" spans="2:90" x14ac:dyDescent="0.25">
      <c r="B164" s="516" t="s">
        <v>4505</v>
      </c>
      <c r="C164" s="372"/>
      <c r="D164" s="366">
        <f>249808.43/1000</f>
        <v>249.80842999999999</v>
      </c>
      <c r="E164" s="359"/>
      <c r="F164" s="366">
        <v>250</v>
      </c>
      <c r="G164" s="505"/>
      <c r="H164" s="70"/>
      <c r="I164" s="70"/>
      <c r="J164" s="70"/>
      <c r="K164" s="70"/>
    </row>
    <row r="165" spans="2:90" x14ac:dyDescent="0.25">
      <c r="B165" s="506" t="s">
        <v>4503</v>
      </c>
      <c r="C165" s="507"/>
      <c r="D165" s="562">
        <f>SUM(D163:D164)</f>
        <v>3464.0895399999999</v>
      </c>
      <c r="E165" s="563"/>
      <c r="F165" s="562">
        <f>SUM(F163:F164)</f>
        <v>3697</v>
      </c>
      <c r="G165" s="508"/>
      <c r="H165" s="70"/>
      <c r="I165" s="556">
        <f>ROUND(('1. BP (mil)'!H26-D165),0)</f>
        <v>0</v>
      </c>
      <c r="J165" s="556">
        <f>ROUND(('1. BP (mil)'!J26-F165),0)</f>
        <v>0</v>
      </c>
      <c r="K165" s="70"/>
    </row>
    <row r="166" spans="2:90" x14ac:dyDescent="0.25">
      <c r="B166" s="977"/>
      <c r="C166" s="977"/>
      <c r="D166" s="977"/>
      <c r="E166" s="977"/>
      <c r="F166" s="977"/>
      <c r="G166" s="977"/>
      <c r="H166" s="497"/>
      <c r="I166" s="70"/>
      <c r="J166" s="70"/>
      <c r="K166" s="70"/>
    </row>
    <row r="167" spans="2:90" x14ac:dyDescent="0.25">
      <c r="B167" s="986" t="e">
        <f>CONCATENATE(#REF!," - IMOBILIZADO")</f>
        <v>#REF!</v>
      </c>
      <c r="C167" s="986"/>
      <c r="D167" s="986"/>
      <c r="E167" s="986"/>
      <c r="F167" s="986"/>
      <c r="G167" s="986"/>
      <c r="H167" s="814"/>
      <c r="I167" s="70"/>
      <c r="J167" s="70"/>
      <c r="K167" s="70"/>
    </row>
    <row r="168" spans="2:90" ht="65.25" customHeight="1" x14ac:dyDescent="0.25">
      <c r="B168" s="964" t="s">
        <v>7183</v>
      </c>
      <c r="C168" s="964"/>
      <c r="D168" s="964"/>
      <c r="E168" s="964"/>
      <c r="F168" s="964"/>
      <c r="G168" s="964"/>
      <c r="H168" s="763"/>
      <c r="I168" s="70"/>
      <c r="J168" s="70"/>
      <c r="K168" s="70"/>
    </row>
    <row r="169" spans="2:90" x14ac:dyDescent="0.25">
      <c r="B169" s="977" t="s">
        <v>7024</v>
      </c>
      <c r="C169" s="977"/>
      <c r="D169" s="977"/>
      <c r="E169" s="977"/>
      <c r="F169" s="977"/>
      <c r="G169" s="977"/>
      <c r="H169" s="497"/>
      <c r="I169" s="70"/>
      <c r="J169" s="70"/>
      <c r="K169" s="70"/>
    </row>
    <row r="170" spans="2:90" x14ac:dyDescent="0.25">
      <c r="B170" s="977"/>
      <c r="C170" s="977"/>
      <c r="D170" s="977"/>
      <c r="E170" s="977"/>
      <c r="F170" s="977"/>
      <c r="G170" s="977"/>
      <c r="H170" s="497"/>
      <c r="I170" s="70"/>
      <c r="J170" s="70"/>
      <c r="K170" s="70"/>
    </row>
    <row r="171" spans="2:90" ht="39.75" customHeight="1" x14ac:dyDescent="0.25">
      <c r="B171" s="70"/>
      <c r="C171" s="70"/>
      <c r="D171" s="70"/>
      <c r="E171" s="70"/>
      <c r="F171" s="70"/>
      <c r="G171" s="70"/>
      <c r="H171" s="70"/>
      <c r="I171" s="70"/>
      <c r="J171" s="70"/>
      <c r="K171" s="70"/>
      <c r="BX171" s="790" t="s">
        <v>4362</v>
      </c>
      <c r="BY171" s="791"/>
      <c r="BZ171" s="792" t="s">
        <v>4363</v>
      </c>
      <c r="CA171" s="791"/>
      <c r="CB171" s="792" t="s">
        <v>4364</v>
      </c>
      <c r="CC171" s="791"/>
      <c r="CD171" s="792" t="s">
        <v>4365</v>
      </c>
      <c r="CE171" s="791"/>
      <c r="CF171" s="792" t="s">
        <v>4366</v>
      </c>
      <c r="CG171" s="791"/>
      <c r="CH171" s="792" t="s">
        <v>4367</v>
      </c>
      <c r="CI171" s="791"/>
      <c r="CJ171" s="792" t="s">
        <v>4368</v>
      </c>
      <c r="CK171" s="791"/>
      <c r="CL171" s="793" t="s">
        <v>4369</v>
      </c>
    </row>
    <row r="172" spans="2:90" x14ac:dyDescent="0.25">
      <c r="B172" s="70"/>
      <c r="C172" s="70"/>
      <c r="D172" s="70"/>
      <c r="E172" s="70"/>
      <c r="F172" s="70"/>
      <c r="G172" s="70"/>
      <c r="H172" s="70"/>
      <c r="I172" s="70"/>
      <c r="J172" s="70"/>
      <c r="K172" s="70"/>
      <c r="BX172" s="794" t="s">
        <v>4370</v>
      </c>
      <c r="BY172" s="82"/>
      <c r="BZ172" s="795">
        <v>161424.11778</v>
      </c>
      <c r="CA172" s="82"/>
      <c r="CB172" s="795">
        <v>0</v>
      </c>
      <c r="CC172" s="82"/>
      <c r="CD172" s="795">
        <v>0</v>
      </c>
      <c r="CE172" s="82"/>
      <c r="CF172" s="795">
        <v>0</v>
      </c>
      <c r="CG172" s="82"/>
      <c r="CH172" s="795">
        <v>0</v>
      </c>
      <c r="CI172" s="82"/>
      <c r="CJ172" s="795">
        <v>0</v>
      </c>
      <c r="CK172" s="82"/>
      <c r="CL172" s="796">
        <f t="shared" ref="CL172:CL180" si="1">SUM(BZ172:CJ172)</f>
        <v>161424.11778</v>
      </c>
    </row>
    <row r="173" spans="2:90" x14ac:dyDescent="0.25">
      <c r="B173" s="70"/>
      <c r="C173" s="70"/>
      <c r="D173" s="70"/>
      <c r="E173" s="70"/>
      <c r="F173" s="70"/>
      <c r="G173" s="70"/>
      <c r="H173" s="70"/>
      <c r="I173" s="70"/>
      <c r="J173" s="70"/>
      <c r="K173" s="70"/>
      <c r="BX173" s="794" t="s">
        <v>6919</v>
      </c>
      <c r="BY173" s="82"/>
      <c r="BZ173" s="795">
        <v>56575.336490000016</v>
      </c>
      <c r="CA173" s="82"/>
      <c r="CB173" s="795">
        <v>0</v>
      </c>
      <c r="CC173" s="82"/>
      <c r="CD173" s="795">
        <v>0</v>
      </c>
      <c r="CE173" s="82"/>
      <c r="CF173" s="795">
        <v>1432.6644022976291</v>
      </c>
      <c r="CG173" s="82"/>
      <c r="CH173" s="795">
        <v>-2510</v>
      </c>
      <c r="CI173" s="82"/>
      <c r="CJ173" s="795">
        <v>0</v>
      </c>
      <c r="CK173" s="82"/>
      <c r="CL173" s="796">
        <f t="shared" si="1"/>
        <v>55498.000892297649</v>
      </c>
    </row>
    <row r="174" spans="2:90" x14ac:dyDescent="0.25">
      <c r="B174" s="70"/>
      <c r="C174" s="70"/>
      <c r="D174" s="70"/>
      <c r="E174" s="70"/>
      <c r="F174" s="70"/>
      <c r="G174" s="70"/>
      <c r="H174" s="70"/>
      <c r="I174" s="70"/>
      <c r="J174" s="70"/>
      <c r="K174" s="70"/>
      <c r="BX174" s="794" t="s">
        <v>4360</v>
      </c>
      <c r="BY174" s="82"/>
      <c r="BZ174" s="795">
        <v>33735.237590000004</v>
      </c>
      <c r="CA174" s="82"/>
      <c r="CB174" s="795">
        <v>0</v>
      </c>
      <c r="CC174" s="82"/>
      <c r="CD174" s="795">
        <v>0</v>
      </c>
      <c r="CE174" s="82"/>
      <c r="CF174" s="795">
        <v>0</v>
      </c>
      <c r="CG174" s="82"/>
      <c r="CH174" s="795">
        <v>-500</v>
      </c>
      <c r="CI174" s="82"/>
      <c r="CJ174" s="795">
        <v>0</v>
      </c>
      <c r="CK174" s="82"/>
      <c r="CL174" s="796">
        <f t="shared" si="1"/>
        <v>33235.237590000004</v>
      </c>
    </row>
    <row r="175" spans="2:90" x14ac:dyDescent="0.25">
      <c r="B175" s="70"/>
      <c r="C175" s="70"/>
      <c r="D175" s="70"/>
      <c r="E175" s="70"/>
      <c r="F175" s="70"/>
      <c r="G175" s="70"/>
      <c r="H175" s="70"/>
      <c r="I175" s="70"/>
      <c r="J175" s="70"/>
      <c r="K175" s="70"/>
      <c r="BX175" s="794" t="s">
        <v>6920</v>
      </c>
      <c r="BY175" s="82"/>
      <c r="BZ175" s="795">
        <v>8504.5800200000012</v>
      </c>
      <c r="CA175" s="82"/>
      <c r="CB175" s="795">
        <v>40</v>
      </c>
      <c r="CC175" s="82"/>
      <c r="CD175" s="795">
        <v>0</v>
      </c>
      <c r="CE175" s="82"/>
      <c r="CF175" s="795">
        <v>0</v>
      </c>
      <c r="CG175" s="82"/>
      <c r="CH175" s="795">
        <v>-681</v>
      </c>
      <c r="CI175" s="82"/>
      <c r="CJ175" s="795">
        <v>0</v>
      </c>
      <c r="CK175" s="82"/>
      <c r="CL175" s="796">
        <f>SUM(BZ175:CJ175)+1</f>
        <v>7864.5800200000012</v>
      </c>
    </row>
    <row r="176" spans="2:90" x14ac:dyDescent="0.25">
      <c r="B176" s="70"/>
      <c r="C176" s="70"/>
      <c r="D176" s="70"/>
      <c r="E176" s="70"/>
      <c r="F176" s="70"/>
      <c r="G176" s="70"/>
      <c r="H176" s="70"/>
      <c r="I176" s="70"/>
      <c r="J176" s="70"/>
      <c r="K176" s="70"/>
      <c r="BX176" s="794" t="s">
        <v>4359</v>
      </c>
      <c r="BY176" s="82"/>
      <c r="BZ176" s="795">
        <v>15859.139579999999</v>
      </c>
      <c r="CA176" s="82"/>
      <c r="CB176" s="795">
        <v>0</v>
      </c>
      <c r="CC176" s="82"/>
      <c r="CD176" s="795">
        <v>590</v>
      </c>
      <c r="CE176" s="82"/>
      <c r="CF176" s="795">
        <v>0</v>
      </c>
      <c r="CG176" s="82"/>
      <c r="CH176" s="795">
        <v>-678</v>
      </c>
      <c r="CI176" s="82"/>
      <c r="CJ176" s="795">
        <v>0</v>
      </c>
      <c r="CK176" s="82"/>
      <c r="CL176" s="796">
        <f t="shared" si="1"/>
        <v>15771.139579999999</v>
      </c>
    </row>
    <row r="177" spans="2:92" x14ac:dyDescent="0.25">
      <c r="B177" s="70"/>
      <c r="C177" s="70"/>
      <c r="D177" s="70"/>
      <c r="E177" s="70"/>
      <c r="F177" s="70"/>
      <c r="G177" s="70"/>
      <c r="H177" s="70"/>
      <c r="I177" s="70"/>
      <c r="J177" s="70"/>
      <c r="K177" s="70"/>
      <c r="BX177" s="794" t="s">
        <v>7184</v>
      </c>
      <c r="BY177" s="82"/>
      <c r="BZ177" s="795">
        <v>9841.6745500000015</v>
      </c>
      <c r="CA177" s="82"/>
      <c r="CB177" s="795">
        <v>2741</v>
      </c>
      <c r="CC177" s="82"/>
      <c r="CD177" s="795">
        <v>-590</v>
      </c>
      <c r="CE177" s="82"/>
      <c r="CF177" s="795">
        <v>0</v>
      </c>
      <c r="CG177" s="82"/>
      <c r="CH177" s="795">
        <v>0</v>
      </c>
      <c r="CI177" s="82"/>
      <c r="CJ177" s="795">
        <v>0</v>
      </c>
      <c r="CK177" s="82"/>
      <c r="CL177" s="796">
        <f t="shared" si="1"/>
        <v>11992.674550000002</v>
      </c>
    </row>
    <row r="178" spans="2:92" x14ac:dyDescent="0.25">
      <c r="B178" s="70"/>
      <c r="C178" s="70"/>
      <c r="D178" s="70"/>
      <c r="E178" s="70"/>
      <c r="F178" s="70"/>
      <c r="G178" s="70"/>
      <c r="H178" s="70"/>
      <c r="I178" s="70"/>
      <c r="J178" s="70"/>
      <c r="K178" s="70"/>
      <c r="BX178" s="794" t="s">
        <v>6927</v>
      </c>
      <c r="BY178" s="82"/>
      <c r="BZ178" s="795">
        <v>4664.6727699999983</v>
      </c>
      <c r="CA178" s="82"/>
      <c r="CB178" s="795">
        <v>914</v>
      </c>
      <c r="CC178" s="82"/>
      <c r="CD178" s="795">
        <v>0</v>
      </c>
      <c r="CE178" s="82"/>
      <c r="CF178" s="795">
        <v>0</v>
      </c>
      <c r="CG178" s="82"/>
      <c r="CH178" s="795">
        <v>-1195</v>
      </c>
      <c r="CI178" s="82"/>
      <c r="CJ178" s="795">
        <v>0</v>
      </c>
      <c r="CK178" s="82"/>
      <c r="CL178" s="796">
        <f t="shared" si="1"/>
        <v>4383.6727699999983</v>
      </c>
    </row>
    <row r="179" spans="2:92" x14ac:dyDescent="0.25">
      <c r="B179" s="70"/>
      <c r="C179" s="70"/>
      <c r="D179" s="70"/>
      <c r="E179" s="70"/>
      <c r="F179" s="70"/>
      <c r="G179" s="70"/>
      <c r="H179" s="70"/>
      <c r="I179" s="556">
        <f>CL181-'1. BP (mil)'!H27</f>
        <v>0</v>
      </c>
      <c r="J179" s="70"/>
      <c r="K179" s="70"/>
      <c r="BX179" s="794" t="s">
        <v>6921</v>
      </c>
      <c r="BY179" s="82"/>
      <c r="BZ179" s="795">
        <v>3614.8722300000004</v>
      </c>
      <c r="CA179" s="82"/>
      <c r="CB179" s="795">
        <v>266</v>
      </c>
      <c r="CC179" s="82"/>
      <c r="CD179" s="795">
        <v>0</v>
      </c>
      <c r="CE179" s="82"/>
      <c r="CF179" s="795">
        <v>0</v>
      </c>
      <c r="CG179" s="82"/>
      <c r="CH179" s="795">
        <v>-366</v>
      </c>
      <c r="CI179" s="82"/>
      <c r="CJ179" s="795">
        <v>0</v>
      </c>
      <c r="CK179" s="82"/>
      <c r="CL179" s="796">
        <f t="shared" si="1"/>
        <v>3514.8722300000004</v>
      </c>
    </row>
    <row r="180" spans="2:92" x14ac:dyDescent="0.25">
      <c r="B180" s="70"/>
      <c r="C180" s="70"/>
      <c r="D180" s="70"/>
      <c r="E180" s="70"/>
      <c r="F180" s="70"/>
      <c r="G180" s="70"/>
      <c r="H180" s="70"/>
      <c r="I180" s="70"/>
      <c r="J180" s="70"/>
      <c r="K180" s="70"/>
      <c r="BX180" s="794" t="s">
        <v>4376</v>
      </c>
      <c r="BY180" s="82"/>
      <c r="BZ180" s="795">
        <v>6.2044000000000237</v>
      </c>
      <c r="CA180" s="82"/>
      <c r="CB180" s="795">
        <v>0</v>
      </c>
      <c r="CC180" s="82"/>
      <c r="CD180" s="795">
        <v>0</v>
      </c>
      <c r="CE180" s="82"/>
      <c r="CF180" s="795">
        <v>0</v>
      </c>
      <c r="CG180" s="82"/>
      <c r="CH180" s="795">
        <v>0</v>
      </c>
      <c r="CI180" s="82"/>
      <c r="CJ180" s="795">
        <v>0</v>
      </c>
      <c r="CK180" s="82"/>
      <c r="CL180" s="796">
        <f t="shared" si="1"/>
        <v>6.2044000000000237</v>
      </c>
      <c r="CN180" s="622">
        <f>CL181-SUM(BZ181:CJ181)</f>
        <v>0</v>
      </c>
    </row>
    <row r="181" spans="2:92" x14ac:dyDescent="0.25">
      <c r="B181" s="70"/>
      <c r="C181" s="70"/>
      <c r="D181" s="70"/>
      <c r="E181" s="70"/>
      <c r="F181" s="70"/>
      <c r="G181" s="70"/>
      <c r="H181" s="70"/>
      <c r="I181" s="70"/>
      <c r="J181" s="70"/>
      <c r="K181" s="70"/>
      <c r="BX181" s="797" t="s">
        <v>4503</v>
      </c>
      <c r="BY181" s="784"/>
      <c r="BZ181" s="798">
        <f>ROUND(SUM(BZ172:BZ180),0)</f>
        <v>294226</v>
      </c>
      <c r="CA181" s="789"/>
      <c r="CB181" s="798">
        <f>ROUND(SUM(CB172:CB180),0)</f>
        <v>3961</v>
      </c>
      <c r="CC181" s="789"/>
      <c r="CD181" s="798">
        <f>SUM(CD172:CD180)</f>
        <v>0</v>
      </c>
      <c r="CE181" s="789"/>
      <c r="CF181" s="798">
        <f>ROUND(SUM(CF172:CF180),0)</f>
        <v>1433</v>
      </c>
      <c r="CG181" s="789"/>
      <c r="CH181" s="798">
        <f>ROUND(SUM(CH172:CH180),0)</f>
        <v>-5930</v>
      </c>
      <c r="CI181" s="784"/>
      <c r="CJ181" s="798">
        <v>0</v>
      </c>
      <c r="CK181" s="784"/>
      <c r="CL181" s="799">
        <f>ROUND(SUM(CL172:CL180),)</f>
        <v>293690</v>
      </c>
      <c r="CN181" s="622">
        <f>ROUND((CL181-'1. BP (mil)'!H27),0)</f>
        <v>0</v>
      </c>
    </row>
    <row r="182" spans="2:92" x14ac:dyDescent="0.25">
      <c r="B182" s="977"/>
      <c r="C182" s="977"/>
      <c r="D182" s="977"/>
      <c r="E182" s="977"/>
      <c r="F182" s="977"/>
      <c r="G182" s="977"/>
      <c r="H182" s="497"/>
      <c r="I182" s="70"/>
      <c r="J182" s="70"/>
      <c r="K182" s="70"/>
    </row>
    <row r="183" spans="2:92" x14ac:dyDescent="0.25">
      <c r="B183" s="986" t="e">
        <f>CONCATENATE(#REF!,".1 - INSTALAÇÕES NUCLEP")</f>
        <v>#REF!</v>
      </c>
      <c r="C183" s="986"/>
      <c r="D183" s="986"/>
      <c r="E183" s="986"/>
      <c r="F183" s="986"/>
      <c r="G183" s="986"/>
      <c r="H183" s="814"/>
      <c r="I183" s="70"/>
      <c r="J183" s="70"/>
      <c r="K183" s="70"/>
    </row>
    <row r="184" spans="2:92" ht="177" customHeight="1" x14ac:dyDescent="0.25">
      <c r="B184" s="966" t="s">
        <v>7161</v>
      </c>
      <c r="C184" s="966"/>
      <c r="D184" s="966"/>
      <c r="E184" s="966"/>
      <c r="F184" s="966"/>
      <c r="G184" s="966"/>
      <c r="H184" s="498"/>
      <c r="I184" s="70"/>
      <c r="J184" s="70"/>
      <c r="K184" s="70"/>
    </row>
    <row r="185" spans="2:92" x14ac:dyDescent="0.25">
      <c r="B185" s="977"/>
      <c r="C185" s="977"/>
      <c r="D185" s="977"/>
      <c r="E185" s="977"/>
      <c r="F185" s="977"/>
      <c r="G185" s="977"/>
      <c r="H185" s="497"/>
      <c r="I185" s="70"/>
      <c r="J185" s="70"/>
      <c r="K185" s="70"/>
    </row>
    <row r="186" spans="2:92" ht="66" customHeight="1" x14ac:dyDescent="0.25">
      <c r="B186" s="966" t="s">
        <v>7025</v>
      </c>
      <c r="C186" s="966"/>
      <c r="D186" s="966"/>
      <c r="E186" s="966"/>
      <c r="F186" s="966"/>
      <c r="G186" s="966"/>
      <c r="H186" s="498"/>
      <c r="I186" s="70"/>
      <c r="J186" s="70"/>
      <c r="K186" s="70"/>
    </row>
    <row r="187" spans="2:92" x14ac:dyDescent="0.25">
      <c r="B187" s="977"/>
      <c r="C187" s="977"/>
      <c r="D187" s="977"/>
      <c r="E187" s="977"/>
      <c r="F187" s="977"/>
      <c r="G187" s="977"/>
      <c r="H187" s="497"/>
      <c r="I187" s="70"/>
      <c r="J187" s="70"/>
      <c r="K187" s="70"/>
    </row>
    <row r="188" spans="2:92" ht="79.5" customHeight="1" x14ac:dyDescent="0.25">
      <c r="B188" s="966" t="s">
        <v>7026</v>
      </c>
      <c r="C188" s="966"/>
      <c r="D188" s="966"/>
      <c r="E188" s="966"/>
      <c r="F188" s="966"/>
      <c r="G188" s="966"/>
      <c r="H188" s="498"/>
      <c r="I188" s="70"/>
      <c r="J188" s="70"/>
      <c r="K188" s="70"/>
    </row>
    <row r="189" spans="2:92" x14ac:dyDescent="0.25">
      <c r="B189" s="977"/>
      <c r="C189" s="977"/>
      <c r="D189" s="977"/>
      <c r="E189" s="977"/>
      <c r="F189" s="977"/>
      <c r="G189" s="977"/>
      <c r="H189" s="497"/>
      <c r="I189" s="70"/>
      <c r="J189" s="70"/>
      <c r="K189" s="70"/>
    </row>
    <row r="190" spans="2:92" ht="105" customHeight="1" x14ac:dyDescent="0.25">
      <c r="B190" s="966" t="s">
        <v>7185</v>
      </c>
      <c r="C190" s="966"/>
      <c r="D190" s="966"/>
      <c r="E190" s="966"/>
      <c r="F190" s="966"/>
      <c r="G190" s="966"/>
      <c r="H190" s="498"/>
      <c r="I190" s="70"/>
      <c r="J190" s="70"/>
      <c r="K190" s="70"/>
    </row>
    <row r="191" spans="2:92" ht="12" customHeight="1" x14ac:dyDescent="0.25">
      <c r="B191" s="498"/>
      <c r="C191" s="498"/>
      <c r="D191" s="498"/>
      <c r="E191" s="498"/>
      <c r="F191" s="498"/>
      <c r="G191" s="498"/>
      <c r="H191" s="498"/>
      <c r="I191" s="70"/>
      <c r="J191" s="70"/>
      <c r="K191" s="70"/>
    </row>
    <row r="192" spans="2:92" ht="81" customHeight="1" x14ac:dyDescent="0.25">
      <c r="B192" s="966" t="s">
        <v>7017</v>
      </c>
      <c r="C192" s="966"/>
      <c r="D192" s="966"/>
      <c r="E192" s="966"/>
      <c r="F192" s="966"/>
      <c r="G192" s="966"/>
      <c r="H192" s="498"/>
      <c r="I192" s="70"/>
      <c r="J192" s="70"/>
      <c r="K192" s="70"/>
    </row>
    <row r="193" spans="2:11" ht="12" customHeight="1" x14ac:dyDescent="0.25">
      <c r="B193" s="966"/>
      <c r="C193" s="966"/>
      <c r="D193" s="966"/>
      <c r="E193" s="966"/>
      <c r="F193" s="966"/>
      <c r="G193" s="966"/>
      <c r="H193" s="498"/>
      <c r="I193" s="70"/>
      <c r="J193" s="70"/>
      <c r="K193" s="70"/>
    </row>
    <row r="194" spans="2:11" ht="81" customHeight="1" x14ac:dyDescent="0.25">
      <c r="B194" s="966" t="s">
        <v>7215</v>
      </c>
      <c r="C194" s="966"/>
      <c r="D194" s="966"/>
      <c r="E194" s="966"/>
      <c r="F194" s="966"/>
      <c r="G194" s="966"/>
      <c r="H194" s="498"/>
      <c r="I194" s="70"/>
      <c r="J194" s="70"/>
      <c r="K194" s="70"/>
    </row>
    <row r="195" spans="2:11" ht="12" customHeight="1" x14ac:dyDescent="0.25">
      <c r="B195" s="966"/>
      <c r="C195" s="966"/>
      <c r="D195" s="966"/>
      <c r="E195" s="966"/>
      <c r="F195" s="966"/>
      <c r="G195" s="966"/>
      <c r="H195" s="498"/>
      <c r="I195" s="70"/>
      <c r="J195" s="70"/>
      <c r="K195" s="70"/>
    </row>
    <row r="196" spans="2:11" ht="36.75" customHeight="1" x14ac:dyDescent="0.25">
      <c r="B196" s="966" t="s">
        <v>7216</v>
      </c>
      <c r="C196" s="966"/>
      <c r="D196" s="966"/>
      <c r="E196" s="966"/>
      <c r="F196" s="966"/>
      <c r="G196" s="966"/>
      <c r="H196" s="498"/>
      <c r="I196" s="70"/>
      <c r="J196" s="70"/>
      <c r="K196" s="70"/>
    </row>
    <row r="197" spans="2:11" ht="12" customHeight="1" x14ac:dyDescent="0.25">
      <c r="B197" s="498"/>
      <c r="C197" s="498"/>
      <c r="D197" s="498"/>
      <c r="E197" s="498"/>
      <c r="F197" s="498"/>
      <c r="G197" s="498"/>
      <c r="H197" s="498"/>
      <c r="I197" s="70"/>
      <c r="J197" s="70"/>
      <c r="K197" s="70"/>
    </row>
    <row r="198" spans="2:11" ht="83.25" customHeight="1" x14ac:dyDescent="0.25">
      <c r="B198" s="966" t="s">
        <v>7217</v>
      </c>
      <c r="C198" s="966"/>
      <c r="D198" s="966"/>
      <c r="E198" s="966"/>
      <c r="F198" s="966"/>
      <c r="G198" s="966"/>
      <c r="H198" s="498"/>
      <c r="I198" s="70"/>
      <c r="J198" s="70"/>
      <c r="K198" s="70"/>
    </row>
    <row r="199" spans="2:11" ht="12" customHeight="1" x14ac:dyDescent="0.25">
      <c r="B199" s="498"/>
      <c r="C199" s="498"/>
      <c r="D199" s="498"/>
      <c r="E199" s="498"/>
      <c r="F199" s="498"/>
      <c r="G199" s="498"/>
      <c r="H199" s="498"/>
      <c r="I199" s="70"/>
      <c r="J199" s="70"/>
      <c r="K199" s="70"/>
    </row>
    <row r="200" spans="2:11" ht="50.25" customHeight="1" x14ac:dyDescent="0.25">
      <c r="B200" s="964" t="s">
        <v>7264</v>
      </c>
      <c r="C200" s="964"/>
      <c r="D200" s="964"/>
      <c r="E200" s="964"/>
      <c r="F200" s="964"/>
      <c r="G200" s="964"/>
      <c r="H200" s="763"/>
      <c r="I200" s="70"/>
      <c r="J200" s="70"/>
      <c r="K200" s="70"/>
    </row>
    <row r="201" spans="2:11" ht="39" customHeight="1" x14ac:dyDescent="0.25">
      <c r="B201" s="966" t="s">
        <v>7295</v>
      </c>
      <c r="C201" s="966"/>
      <c r="D201" s="966"/>
      <c r="E201" s="966"/>
      <c r="F201" s="966"/>
      <c r="G201" s="498"/>
      <c r="H201" s="498"/>
      <c r="I201" s="70"/>
      <c r="J201" s="70"/>
      <c r="K201" s="70"/>
    </row>
    <row r="202" spans="2:11" ht="12" customHeight="1" x14ac:dyDescent="0.25">
      <c r="B202" s="977"/>
      <c r="C202" s="977"/>
      <c r="D202" s="977"/>
      <c r="E202" s="977"/>
      <c r="F202" s="977"/>
      <c r="G202" s="977"/>
      <c r="H202" s="497"/>
      <c r="I202" s="70"/>
      <c r="J202" s="70"/>
      <c r="K202" s="70"/>
    </row>
    <row r="203" spans="2:11" x14ac:dyDescent="0.25">
      <c r="B203" s="986" t="e">
        <f>CONCATENATE(#REF!," - INTANGÍVEL")</f>
        <v>#REF!</v>
      </c>
      <c r="C203" s="986"/>
      <c r="D203" s="986"/>
      <c r="E203" s="986"/>
      <c r="F203" s="986"/>
      <c r="G203" s="986"/>
      <c r="H203" s="814"/>
      <c r="I203" s="70"/>
      <c r="J203" s="70"/>
      <c r="K203" s="70"/>
    </row>
    <row r="204" spans="2:11" ht="98.25" customHeight="1" x14ac:dyDescent="0.25">
      <c r="B204" s="966" t="s">
        <v>7028</v>
      </c>
      <c r="C204" s="966"/>
      <c r="D204" s="966"/>
      <c r="E204" s="966"/>
      <c r="F204" s="966"/>
      <c r="G204" s="966"/>
      <c r="H204" s="498"/>
      <c r="I204" s="70"/>
      <c r="J204" s="70"/>
      <c r="K204" s="70"/>
    </row>
    <row r="205" spans="2:11" ht="12" customHeight="1" x14ac:dyDescent="0.25">
      <c r="B205" s="498"/>
      <c r="C205" s="498"/>
      <c r="D205" s="498"/>
      <c r="E205" s="498"/>
      <c r="F205" s="498"/>
      <c r="G205" s="498"/>
      <c r="H205" s="498"/>
      <c r="I205" s="70"/>
      <c r="J205" s="70"/>
      <c r="K205" s="70"/>
    </row>
    <row r="206" spans="2:11" x14ac:dyDescent="0.25">
      <c r="B206" s="977"/>
      <c r="C206" s="977"/>
      <c r="D206" s="977"/>
      <c r="E206" s="977"/>
      <c r="F206" s="977"/>
      <c r="G206" s="977"/>
      <c r="H206" s="497"/>
      <c r="I206" s="70"/>
      <c r="J206" s="70"/>
      <c r="K206" s="70"/>
    </row>
    <row r="207" spans="2:11" x14ac:dyDescent="0.25">
      <c r="B207" s="511" t="s">
        <v>4377</v>
      </c>
      <c r="C207" s="517"/>
      <c r="D207" s="365" t="str">
        <f>D162</f>
        <v xml:space="preserve"> Dezembro 2025</v>
      </c>
      <c r="E207" s="518"/>
      <c r="F207" s="365" t="str">
        <f>F162</f>
        <v xml:space="preserve"> Dezembro 2024</v>
      </c>
      <c r="G207" s="503"/>
      <c r="H207" s="70"/>
      <c r="I207" s="699">
        <v>25</v>
      </c>
      <c r="J207" s="699">
        <v>24</v>
      </c>
      <c r="K207" s="70"/>
    </row>
    <row r="208" spans="2:11" x14ac:dyDescent="0.25">
      <c r="B208" s="516" t="s">
        <v>7186</v>
      </c>
      <c r="C208" s="372"/>
      <c r="D208" s="366" t="e">
        <f>ROUND(#REF!/1000,0)</f>
        <v>#REF!</v>
      </c>
      <c r="E208" s="369"/>
      <c r="F208" s="366">
        <v>1342</v>
      </c>
      <c r="G208" s="505"/>
      <c r="H208" s="70"/>
      <c r="I208" s="699"/>
      <c r="J208" s="699"/>
      <c r="K208" s="485" t="s">
        <v>5314</v>
      </c>
    </row>
    <row r="209" spans="2:17" x14ac:dyDescent="0.25">
      <c r="B209" s="516" t="s">
        <v>7187</v>
      </c>
      <c r="C209" s="372"/>
      <c r="D209" s="366" t="e">
        <f>ROUND(#REF!/1000,0)</f>
        <v>#REF!</v>
      </c>
      <c r="E209" s="369"/>
      <c r="F209" s="366">
        <v>308</v>
      </c>
      <c r="G209" s="505"/>
      <c r="H209" s="70"/>
      <c r="I209" s="699"/>
      <c r="J209" s="699"/>
      <c r="K209" s="485" t="s">
        <v>413</v>
      </c>
    </row>
    <row r="210" spans="2:17" x14ac:dyDescent="0.25">
      <c r="B210" s="516" t="s">
        <v>7188</v>
      </c>
      <c r="C210" s="372"/>
      <c r="D210" s="93" t="e">
        <f>ROUND(#REF!/1000,0)-1</f>
        <v>#REF!</v>
      </c>
      <c r="E210" s="369"/>
      <c r="F210" s="93">
        <v>-191</v>
      </c>
      <c r="G210" s="505"/>
      <c r="H210" s="70"/>
      <c r="I210" s="729" t="s">
        <v>7233</v>
      </c>
      <c r="J210" s="699"/>
      <c r="K210" s="485" t="s">
        <v>5315</v>
      </c>
    </row>
    <row r="211" spans="2:17" x14ac:dyDescent="0.25">
      <c r="B211" s="511" t="s">
        <v>4503</v>
      </c>
      <c r="C211" s="519"/>
      <c r="D211" s="562" t="e">
        <f>SUM(D208:D210)</f>
        <v>#REF!</v>
      </c>
      <c r="E211" s="563"/>
      <c r="F211" s="562">
        <f>SUM(F208:F210)</f>
        <v>1459</v>
      </c>
      <c r="G211" s="508"/>
      <c r="H211" s="70"/>
      <c r="I211" s="556" t="e">
        <f>ROUND(('1. BP (mil)'!H28-D211),0)</f>
        <v>#REF!</v>
      </c>
      <c r="J211" s="556">
        <f>ROUND(('1. BP (mil)'!J28-F211),0)</f>
        <v>0</v>
      </c>
      <c r="K211" s="70"/>
    </row>
    <row r="212" spans="2:17" x14ac:dyDescent="0.25">
      <c r="B212" s="977"/>
      <c r="C212" s="977"/>
      <c r="D212" s="977"/>
      <c r="E212" s="977"/>
      <c r="F212" s="977"/>
      <c r="G212" s="977"/>
      <c r="H212" s="497"/>
      <c r="I212" s="70"/>
      <c r="J212" s="70"/>
      <c r="K212" s="70"/>
    </row>
    <row r="213" spans="2:17" x14ac:dyDescent="0.25">
      <c r="B213" s="986" t="e">
        <f>CONCATENATE(#REF!," - SUBVENÇÕES PARA INVESTIMENTOS")</f>
        <v>#REF!</v>
      </c>
      <c r="C213" s="986"/>
      <c r="D213" s="986"/>
      <c r="E213" s="986"/>
      <c r="F213" s="986"/>
      <c r="G213" s="986"/>
      <c r="H213" s="814"/>
      <c r="I213" s="70"/>
      <c r="J213" s="70"/>
      <c r="K213" s="70"/>
    </row>
    <row r="214" spans="2:17" ht="66" customHeight="1" x14ac:dyDescent="0.25">
      <c r="B214" s="966" t="s">
        <v>6847</v>
      </c>
      <c r="C214" s="966"/>
      <c r="D214" s="966"/>
      <c r="E214" s="966"/>
      <c r="F214" s="966"/>
      <c r="G214" s="966"/>
      <c r="H214" s="498"/>
      <c r="I214" s="70"/>
      <c r="J214" s="70"/>
      <c r="K214" s="70"/>
    </row>
    <row r="215" spans="2:17" x14ac:dyDescent="0.25">
      <c r="B215" s="977"/>
      <c r="C215" s="977"/>
      <c r="D215" s="977"/>
      <c r="E215" s="977"/>
      <c r="F215" s="977"/>
      <c r="G215" s="977"/>
      <c r="H215" s="497"/>
      <c r="I215" s="70"/>
      <c r="J215" s="70"/>
      <c r="K215" s="70"/>
    </row>
    <row r="216" spans="2:17" x14ac:dyDescent="0.25">
      <c r="B216" s="511" t="s">
        <v>6848</v>
      </c>
      <c r="C216" s="517"/>
      <c r="D216" s="365" t="str">
        <f>D207</f>
        <v xml:space="preserve"> Dezembro 2025</v>
      </c>
      <c r="E216" s="518"/>
      <c r="F216" s="365" t="str">
        <f>F207</f>
        <v xml:space="preserve"> Dezembro 2024</v>
      </c>
      <c r="G216" s="503"/>
      <c r="H216" s="70"/>
      <c r="I216" s="70"/>
      <c r="J216" s="70"/>
      <c r="K216" s="70"/>
    </row>
    <row r="217" spans="2:17" x14ac:dyDescent="0.25">
      <c r="B217" s="735" t="s">
        <v>6849</v>
      </c>
      <c r="C217" s="736"/>
      <c r="D217" s="748">
        <f>26860+479</f>
        <v>27339</v>
      </c>
      <c r="E217" s="749"/>
      <c r="F217" s="748">
        <v>28631</v>
      </c>
      <c r="G217" s="505"/>
      <c r="H217" s="70"/>
      <c r="I217" s="70"/>
      <c r="J217" s="70"/>
      <c r="K217" s="70"/>
    </row>
    <row r="218" spans="2:17" x14ac:dyDescent="0.25">
      <c r="B218" s="735" t="s">
        <v>6850</v>
      </c>
      <c r="C218" s="736"/>
      <c r="D218" s="748">
        <v>3961</v>
      </c>
      <c r="E218" s="749"/>
      <c r="F218" s="748">
        <v>2795</v>
      </c>
      <c r="G218" s="505"/>
      <c r="H218" s="70"/>
      <c r="I218" s="70"/>
      <c r="J218" s="70"/>
      <c r="K218" s="70"/>
    </row>
    <row r="219" spans="2:17" x14ac:dyDescent="0.25">
      <c r="B219" s="735" t="s">
        <v>6851</v>
      </c>
      <c r="C219" s="736"/>
      <c r="D219" s="751">
        <v>-5930</v>
      </c>
      <c r="E219" s="749"/>
      <c r="F219" s="751">
        <v>-4566</v>
      </c>
      <c r="G219" s="505"/>
      <c r="H219" s="70"/>
      <c r="I219" s="70"/>
      <c r="J219" s="70"/>
      <c r="K219" s="70"/>
      <c r="M219" s="741"/>
      <c r="N219" s="741"/>
      <c r="O219" s="741"/>
    </row>
    <row r="220" spans="2:17" x14ac:dyDescent="0.25">
      <c r="B220" s="511" t="s">
        <v>6852</v>
      </c>
      <c r="C220" s="777"/>
      <c r="D220" s="778">
        <f>SUM(D217:D219)</f>
        <v>25370</v>
      </c>
      <c r="E220" s="779"/>
      <c r="F220" s="778">
        <f>SUM(F217:F219)</f>
        <v>26860</v>
      </c>
      <c r="G220" s="508"/>
      <c r="H220" s="70"/>
      <c r="I220" s="556">
        <f>ROUND(('1. BP (mil)'!H29+D220),0)</f>
        <v>0</v>
      </c>
      <c r="J220" s="556">
        <f>ROUND(('1. BP (mil)'!J29+F220),0)</f>
        <v>0</v>
      </c>
      <c r="K220" s="70"/>
      <c r="M220" s="743"/>
      <c r="N220" s="743"/>
      <c r="O220" s="742"/>
    </row>
    <row r="221" spans="2:17" x14ac:dyDescent="0.25">
      <c r="B221" s="977"/>
      <c r="C221" s="977"/>
      <c r="D221" s="977"/>
      <c r="E221" s="977"/>
      <c r="F221" s="977"/>
      <c r="G221" s="977"/>
      <c r="H221" s="497"/>
      <c r="I221" s="70"/>
      <c r="J221" s="70"/>
      <c r="K221" s="70"/>
      <c r="M221" s="743"/>
      <c r="N221" s="743"/>
      <c r="O221" s="742"/>
    </row>
    <row r="222" spans="2:17" x14ac:dyDescent="0.25">
      <c r="B222" s="985" t="e">
        <f>CONCATENATE(#REF!," - FORNECEDORES")</f>
        <v>#REF!</v>
      </c>
      <c r="C222" s="985"/>
      <c r="D222" s="985"/>
      <c r="E222" s="985"/>
      <c r="F222" s="985"/>
      <c r="G222" s="985"/>
      <c r="H222" s="811"/>
      <c r="I222" s="70"/>
      <c r="J222" s="70"/>
      <c r="K222" s="70"/>
      <c r="M222" s="743"/>
      <c r="N222" s="743"/>
      <c r="O222" s="742"/>
      <c r="Q222" s="800" t="s">
        <v>7286</v>
      </c>
    </row>
    <row r="223" spans="2:17" ht="69" customHeight="1" x14ac:dyDescent="0.25">
      <c r="B223" s="966" t="s">
        <v>7290</v>
      </c>
      <c r="C223" s="966"/>
      <c r="D223" s="966"/>
      <c r="E223" s="966"/>
      <c r="F223" s="966"/>
      <c r="G223" s="966"/>
      <c r="H223" s="498"/>
      <c r="I223" s="70"/>
      <c r="J223" s="70"/>
      <c r="K223" s="70"/>
      <c r="M223" s="743"/>
      <c r="N223" s="743"/>
      <c r="O223" s="742"/>
    </row>
    <row r="224" spans="2:17" x14ac:dyDescent="0.25">
      <c r="B224" s="498"/>
      <c r="C224" s="498"/>
      <c r="D224" s="498"/>
      <c r="E224" s="498"/>
      <c r="F224" s="498"/>
      <c r="G224" s="498"/>
      <c r="H224" s="498"/>
      <c r="I224" s="70"/>
      <c r="J224" s="70"/>
      <c r="K224" s="70"/>
      <c r="M224" s="743"/>
      <c r="N224" s="743"/>
      <c r="O224" s="742"/>
    </row>
    <row r="225" spans="2:17" x14ac:dyDescent="0.25">
      <c r="B225" s="499" t="s">
        <v>4506</v>
      </c>
      <c r="C225" s="500"/>
      <c r="D225" s="501" t="str">
        <f>D216</f>
        <v xml:space="preserve"> Dezembro 2025</v>
      </c>
      <c r="E225" s="502"/>
      <c r="F225" s="501" t="str">
        <f>F216</f>
        <v xml:space="preserve"> Dezembro 2024</v>
      </c>
      <c r="G225" s="503"/>
      <c r="H225" s="70"/>
      <c r="I225" s="70"/>
      <c r="J225" s="70"/>
      <c r="K225" s="70"/>
      <c r="M225" s="743"/>
      <c r="N225" s="743"/>
      <c r="O225" s="742"/>
    </row>
    <row r="226" spans="2:17" x14ac:dyDescent="0.25">
      <c r="B226" s="516" t="s">
        <v>6854</v>
      </c>
      <c r="C226" s="372"/>
      <c r="D226" s="748" t="e">
        <f>ROUND((#REF!+#REF!+#REF!+#REF!+#REF!)/1000,0)+(5741929.64)/1000-8645</f>
        <v>#REF!</v>
      </c>
      <c r="E226" s="369"/>
      <c r="F226" s="366">
        <v>23643</v>
      </c>
      <c r="G226" s="505"/>
      <c r="H226" s="70"/>
      <c r="I226" s="556" t="s">
        <v>7354</v>
      </c>
      <c r="J226" s="556"/>
      <c r="K226" s="70"/>
      <c r="M226" s="743"/>
      <c r="N226" s="743"/>
      <c r="O226" s="742"/>
      <c r="Q226" s="801">
        <f>(69802104.75)/1000</f>
        <v>69802.104749999999</v>
      </c>
    </row>
    <row r="227" spans="2:17" x14ac:dyDescent="0.25">
      <c r="B227" s="516" t="s">
        <v>6855</v>
      </c>
      <c r="C227" s="372"/>
      <c r="D227" s="748" t="e">
        <f>ROUND((#REF!)/1000,0)+8645</f>
        <v>#REF!</v>
      </c>
      <c r="E227" s="369" t="s">
        <v>4507</v>
      </c>
      <c r="F227" s="370">
        <v>0</v>
      </c>
      <c r="G227" s="505"/>
      <c r="H227" s="70"/>
      <c r="I227" s="913" t="s">
        <v>7355</v>
      </c>
      <c r="J227" s="556"/>
      <c r="K227" s="70"/>
      <c r="M227" s="743"/>
      <c r="N227" s="743"/>
      <c r="O227" s="742"/>
    </row>
    <row r="228" spans="2:17" x14ac:dyDescent="0.25">
      <c r="B228" s="506" t="s">
        <v>4503</v>
      </c>
      <c r="C228" s="507"/>
      <c r="D228" s="562" t="e">
        <f>SUM(D226:D227)</f>
        <v>#REF!</v>
      </c>
      <c r="E228" s="563"/>
      <c r="F228" s="562">
        <f>SUM(F226:F227)</f>
        <v>23643</v>
      </c>
      <c r="G228" s="508"/>
      <c r="H228" s="70"/>
      <c r="I228" s="556" t="e">
        <f>ROUND(('1. BP (mil)'!H36-D228),0)</f>
        <v>#REF!</v>
      </c>
      <c r="J228" s="556">
        <f>ROUND(('1. BP (mil)'!J36-F228),0)</f>
        <v>0</v>
      </c>
      <c r="K228" s="70"/>
      <c r="M228" s="743"/>
      <c r="N228" s="743"/>
      <c r="O228" s="742"/>
    </row>
    <row r="229" spans="2:17" x14ac:dyDescent="0.25">
      <c r="B229" s="498"/>
      <c r="C229" s="498"/>
      <c r="D229" s="498"/>
      <c r="E229" s="498"/>
      <c r="F229" s="498"/>
      <c r="G229" s="498"/>
      <c r="H229" s="498"/>
      <c r="I229" s="70"/>
      <c r="J229" s="70"/>
      <c r="K229" s="70"/>
      <c r="M229" s="743"/>
      <c r="N229" s="743"/>
      <c r="O229" s="742"/>
    </row>
    <row r="230" spans="2:17" ht="53.25" customHeight="1" x14ac:dyDescent="0.25">
      <c r="B230" s="987" t="s">
        <v>7249</v>
      </c>
      <c r="C230" s="987"/>
      <c r="D230" s="987"/>
      <c r="E230" s="987"/>
      <c r="F230" s="987"/>
      <c r="G230" s="987"/>
      <c r="H230" s="807"/>
      <c r="I230" s="70"/>
      <c r="J230" s="70"/>
      <c r="K230" s="982"/>
      <c r="L230" s="982"/>
      <c r="M230" s="982"/>
      <c r="N230" s="982"/>
      <c r="O230" s="982"/>
      <c r="P230" s="982"/>
    </row>
    <row r="231" spans="2:17" ht="53.25" customHeight="1" x14ac:dyDescent="0.25">
      <c r="B231" s="989" t="s">
        <v>7307</v>
      </c>
      <c r="C231" s="989"/>
      <c r="D231" s="989"/>
      <c r="E231" s="989"/>
      <c r="F231" s="989"/>
      <c r="G231" s="989"/>
      <c r="H231" s="807"/>
      <c r="I231" s="70"/>
      <c r="J231" s="70"/>
      <c r="K231" s="806"/>
      <c r="L231" s="806"/>
      <c r="M231" s="806"/>
      <c r="N231" s="806"/>
      <c r="O231" s="806"/>
      <c r="P231" s="806"/>
    </row>
    <row r="232" spans="2:17" x14ac:dyDescent="0.25">
      <c r="B232" s="977"/>
      <c r="C232" s="977"/>
      <c r="D232" s="977"/>
      <c r="E232" s="977"/>
      <c r="F232" s="977"/>
      <c r="G232" s="977"/>
      <c r="H232" s="497"/>
      <c r="I232" s="70"/>
      <c r="J232" s="70"/>
      <c r="K232" s="70"/>
    </row>
    <row r="233" spans="2:17" x14ac:dyDescent="0.25">
      <c r="B233" s="985" t="e">
        <f xml:space="preserve"> CONCATENATE(#REF!," - OBRIGAÇÕES TRABALHISTAS E SOCIAIS")</f>
        <v>#REF!</v>
      </c>
      <c r="C233" s="985"/>
      <c r="D233" s="985"/>
      <c r="E233" s="985"/>
      <c r="F233" s="985"/>
      <c r="G233" s="985"/>
      <c r="H233" s="811"/>
      <c r="I233" s="70"/>
      <c r="J233" s="70"/>
      <c r="K233" s="70"/>
    </row>
    <row r="234" spans="2:17" ht="35.25" customHeight="1" x14ac:dyDescent="0.25">
      <c r="B234" s="966" t="s">
        <v>7189</v>
      </c>
      <c r="C234" s="966"/>
      <c r="D234" s="966"/>
      <c r="E234" s="966"/>
      <c r="F234" s="966"/>
      <c r="G234" s="966"/>
      <c r="H234" s="498"/>
      <c r="I234" s="70"/>
      <c r="J234" s="70"/>
      <c r="K234" s="70"/>
    </row>
    <row r="235" spans="2:17" x14ac:dyDescent="0.25">
      <c r="B235" s="977"/>
      <c r="C235" s="977"/>
      <c r="D235" s="977"/>
      <c r="E235" s="977"/>
      <c r="F235" s="977"/>
      <c r="G235" s="977"/>
      <c r="H235" s="497"/>
      <c r="I235" s="70"/>
      <c r="J235" s="70"/>
      <c r="K235" s="70"/>
    </row>
    <row r="236" spans="2:17" x14ac:dyDescent="0.25">
      <c r="B236" s="499" t="s">
        <v>6856</v>
      </c>
      <c r="C236" s="521"/>
      <c r="D236" s="501" t="str">
        <f>D216</f>
        <v xml:space="preserve"> Dezembro 2025</v>
      </c>
      <c r="E236" s="502"/>
      <c r="F236" s="501" t="str">
        <f>F216</f>
        <v xml:space="preserve"> Dezembro 2024</v>
      </c>
      <c r="G236" s="503"/>
      <c r="H236" s="70"/>
      <c r="I236" s="826"/>
      <c r="J236" s="70"/>
      <c r="K236" s="70"/>
    </row>
    <row r="237" spans="2:17" ht="15.75" customHeight="1" x14ac:dyDescent="0.25">
      <c r="B237" s="516" t="s">
        <v>7324</v>
      </c>
      <c r="C237" s="522"/>
      <c r="D237" s="564">
        <f>15708</f>
        <v>15708</v>
      </c>
      <c r="E237" s="369"/>
      <c r="F237" s="492">
        <f>14736.5225267279-187+657</f>
        <v>15206.5225267279</v>
      </c>
      <c r="G237" s="505"/>
      <c r="H237" s="70"/>
      <c r="I237" s="759"/>
      <c r="J237" s="70"/>
      <c r="K237" s="70"/>
    </row>
    <row r="238" spans="2:17" x14ac:dyDescent="0.25">
      <c r="B238" s="516" t="s">
        <v>6860</v>
      </c>
      <c r="C238" s="522"/>
      <c r="D238" s="564">
        <v>2493</v>
      </c>
      <c r="E238" s="369"/>
      <c r="F238" s="492">
        <v>1562.5367414546001</v>
      </c>
      <c r="G238" s="505"/>
      <c r="H238" s="70"/>
      <c r="I238" s="759"/>
      <c r="J238" s="70"/>
      <c r="K238" s="785"/>
    </row>
    <row r="239" spans="2:17" x14ac:dyDescent="0.25">
      <c r="B239" s="516" t="s">
        <v>6861</v>
      </c>
      <c r="C239" s="522"/>
      <c r="D239" s="564">
        <v>6899</v>
      </c>
      <c r="E239" s="369"/>
      <c r="F239" s="492">
        <f>12730.05-2986</f>
        <v>9744.0499999999993</v>
      </c>
      <c r="G239" s="505"/>
      <c r="H239" s="70"/>
      <c r="I239" s="759"/>
      <c r="J239" s="70"/>
      <c r="K239" s="70"/>
    </row>
    <row r="240" spans="2:17" x14ac:dyDescent="0.25">
      <c r="B240" s="516" t="s">
        <v>7325</v>
      </c>
      <c r="C240" s="522"/>
      <c r="D240" s="564">
        <v>1003</v>
      </c>
      <c r="E240" s="369"/>
      <c r="F240" s="492"/>
      <c r="G240" s="505"/>
      <c r="H240" s="70"/>
      <c r="I240" s="759"/>
      <c r="J240" s="70"/>
      <c r="K240" s="70"/>
    </row>
    <row r="241" spans="2:12" x14ac:dyDescent="0.25">
      <c r="B241" s="515" t="s">
        <v>6857</v>
      </c>
      <c r="C241" s="522"/>
      <c r="D241" s="740">
        <f>D237+D238+D239+D240</f>
        <v>26103</v>
      </c>
      <c r="E241" s="71"/>
      <c r="F241" s="494">
        <f>SUM(F237:F239)</f>
        <v>26513.109268182499</v>
      </c>
      <c r="G241" s="505"/>
      <c r="H241" s="70"/>
      <c r="I241" s="759"/>
      <c r="J241" s="70"/>
      <c r="K241" s="70"/>
    </row>
    <row r="242" spans="2:12" x14ac:dyDescent="0.25">
      <c r="B242" s="523"/>
      <c r="C242" s="524"/>
      <c r="D242" s="565"/>
      <c r="E242" s="407"/>
      <c r="F242" s="407"/>
      <c r="G242" s="505"/>
      <c r="H242" s="70"/>
      <c r="I242" s="759"/>
      <c r="J242" s="70"/>
      <c r="K242" s="70"/>
    </row>
    <row r="243" spans="2:12" x14ac:dyDescent="0.25">
      <c r="B243" s="525" t="s">
        <v>6858</v>
      </c>
      <c r="C243" s="522"/>
      <c r="D243" s="495" t="str">
        <f>D236</f>
        <v xml:space="preserve"> Dezembro 2025</v>
      </c>
      <c r="E243" s="496"/>
      <c r="F243" s="495" t="str">
        <f>F236</f>
        <v xml:space="preserve"> Dezembro 2024</v>
      </c>
      <c r="G243" s="505"/>
      <c r="H243" s="70"/>
      <c r="I243" s="759"/>
      <c r="J243" s="70"/>
      <c r="K243" s="70"/>
    </row>
    <row r="244" spans="2:12" x14ac:dyDescent="0.25">
      <c r="B244" s="523" t="s">
        <v>6862</v>
      </c>
      <c r="C244" s="524"/>
      <c r="D244" s="565">
        <f>31693+1</f>
        <v>31694</v>
      </c>
      <c r="E244" s="407"/>
      <c r="F244" s="407">
        <v>28427.459719921699</v>
      </c>
      <c r="G244" s="505"/>
      <c r="H244" s="70"/>
      <c r="I244" s="759" t="s">
        <v>7232</v>
      </c>
      <c r="J244" s="70"/>
      <c r="K244" s="70"/>
    </row>
    <row r="245" spans="2:12" x14ac:dyDescent="0.25">
      <c r="B245" s="523" t="s">
        <v>6863</v>
      </c>
      <c r="C245" s="524"/>
      <c r="D245" s="565">
        <v>1834</v>
      </c>
      <c r="E245" s="407"/>
      <c r="F245" s="407">
        <v>1689</v>
      </c>
      <c r="G245" s="505"/>
      <c r="H245" s="70"/>
      <c r="I245" s="759"/>
      <c r="J245" s="70"/>
      <c r="K245" s="70"/>
    </row>
    <row r="246" spans="2:12" x14ac:dyDescent="0.25">
      <c r="B246" s="514" t="s">
        <v>6864</v>
      </c>
      <c r="C246" s="522"/>
      <c r="D246" s="564">
        <v>4585</v>
      </c>
      <c r="E246" s="369"/>
      <c r="F246" s="492">
        <v>4223</v>
      </c>
      <c r="G246" s="505"/>
      <c r="H246" s="70"/>
      <c r="I246" s="759"/>
      <c r="J246" s="70"/>
      <c r="K246" s="70"/>
    </row>
    <row r="247" spans="2:12" x14ac:dyDescent="0.25">
      <c r="B247" s="515" t="s">
        <v>6857</v>
      </c>
      <c r="C247" s="522"/>
      <c r="D247" s="740">
        <f>SUM(D244:D246)</f>
        <v>38113</v>
      </c>
      <c r="E247" s="71"/>
      <c r="F247" s="494">
        <f>SUM(F244:F246)</f>
        <v>34339.459719921695</v>
      </c>
      <c r="G247" s="505"/>
      <c r="H247" s="70"/>
      <c r="I247" s="759"/>
      <c r="J247" s="479"/>
      <c r="K247" s="479"/>
    </row>
    <row r="248" spans="2:12" x14ac:dyDescent="0.25">
      <c r="B248" s="526"/>
      <c r="C248" s="524"/>
      <c r="D248" s="825"/>
      <c r="E248" s="563"/>
      <c r="F248" s="562"/>
      <c r="G248" s="505"/>
      <c r="H248" s="70"/>
      <c r="I248" s="759"/>
      <c r="J248" s="70"/>
      <c r="K248" s="70"/>
    </row>
    <row r="249" spans="2:12" x14ac:dyDescent="0.25">
      <c r="B249" s="525" t="s">
        <v>7320</v>
      </c>
      <c r="C249" s="522"/>
      <c r="D249" s="495" t="str">
        <f>D243</f>
        <v xml:space="preserve"> Dezembro 2025</v>
      </c>
      <c r="E249" s="496"/>
      <c r="F249" s="495" t="str">
        <f>F243</f>
        <v xml:space="preserve"> Dezembro 2024</v>
      </c>
      <c r="G249" s="505"/>
      <c r="H249" s="70"/>
      <c r="I249" s="759"/>
      <c r="J249" s="70"/>
      <c r="K249" s="70"/>
    </row>
    <row r="250" spans="2:12" x14ac:dyDescent="0.25">
      <c r="B250" s="523" t="s">
        <v>7321</v>
      </c>
      <c r="C250" s="524"/>
      <c r="D250" s="565"/>
      <c r="E250" s="407"/>
      <c r="F250" s="923"/>
      <c r="G250" s="505"/>
      <c r="H250" s="70"/>
      <c r="I250" s="759"/>
      <c r="J250" s="70"/>
      <c r="K250" s="70"/>
    </row>
    <row r="251" spans="2:12" x14ac:dyDescent="0.25">
      <c r="B251" s="523" t="s">
        <v>7322</v>
      </c>
      <c r="C251" s="524"/>
      <c r="D251" s="565">
        <v>1220</v>
      </c>
      <c r="E251" s="407"/>
      <c r="F251" s="923">
        <v>1032</v>
      </c>
      <c r="G251" s="505"/>
      <c r="H251" s="70"/>
      <c r="I251" s="759"/>
      <c r="J251" s="70"/>
      <c r="K251" s="70"/>
    </row>
    <row r="252" spans="2:12" x14ac:dyDescent="0.25">
      <c r="B252" s="514" t="s">
        <v>7323</v>
      </c>
      <c r="C252" s="522"/>
      <c r="D252" s="564">
        <v>3051</v>
      </c>
      <c r="E252" s="369"/>
      <c r="F252" s="924">
        <v>2581</v>
      </c>
      <c r="G252" s="505"/>
      <c r="H252" s="70"/>
      <c r="I252" s="759"/>
      <c r="J252" s="70"/>
      <c r="K252" s="70"/>
    </row>
    <row r="253" spans="2:12" x14ac:dyDescent="0.25">
      <c r="B253" s="515" t="s">
        <v>6857</v>
      </c>
      <c r="C253" s="522"/>
      <c r="D253" s="740">
        <f>SUM(D250:D252)</f>
        <v>4271</v>
      </c>
      <c r="E253" s="71"/>
      <c r="F253" s="925">
        <f>SUM(F250:F252)</f>
        <v>3613</v>
      </c>
      <c r="G253" s="505"/>
      <c r="H253" s="70"/>
      <c r="I253" s="759"/>
      <c r="J253" s="479"/>
      <c r="K253" s="479"/>
    </row>
    <row r="254" spans="2:12" x14ac:dyDescent="0.25">
      <c r="B254" s="526"/>
      <c r="C254" s="524"/>
      <c r="D254" s="825"/>
      <c r="E254" s="563"/>
      <c r="F254" s="562"/>
      <c r="G254" s="505"/>
      <c r="H254" s="70"/>
      <c r="I254" s="759"/>
      <c r="J254" s="70"/>
      <c r="K254" s="70"/>
    </row>
    <row r="255" spans="2:12" x14ac:dyDescent="0.25">
      <c r="B255" s="527" t="s">
        <v>4503</v>
      </c>
      <c r="C255" s="528"/>
      <c r="D255" s="562">
        <f>D241+D247+D253</f>
        <v>68487</v>
      </c>
      <c r="E255" s="563"/>
      <c r="F255" s="562">
        <f>F241+F247+F253</f>
        <v>64465.568988104191</v>
      </c>
      <c r="G255" s="508"/>
      <c r="H255" s="70"/>
      <c r="I255" s="556">
        <f>ROUND(('1. BP (mil)'!H37-D255),0)</f>
        <v>0</v>
      </c>
      <c r="J255" s="556">
        <f>ROUND(('1. BP (mil)'!J37-F255),0)</f>
        <v>0</v>
      </c>
      <c r="K255" s="70"/>
      <c r="L255" s="786"/>
    </row>
    <row r="256" spans="2:12" x14ac:dyDescent="0.25">
      <c r="B256" s="977"/>
      <c r="C256" s="977"/>
      <c r="D256" s="977"/>
      <c r="E256" s="977"/>
      <c r="F256" s="977"/>
      <c r="G256" s="977"/>
      <c r="H256" s="497"/>
      <c r="I256" s="70"/>
      <c r="J256" s="70"/>
      <c r="K256" s="70"/>
    </row>
    <row r="257" spans="1:17" x14ac:dyDescent="0.25">
      <c r="B257" s="985" t="e">
        <f xml:space="preserve"> CONCATENATE(#REF!," - OBRIGAÇÕES TRIBUTÁRIAS")</f>
        <v>#REF!</v>
      </c>
      <c r="C257" s="985"/>
      <c r="D257" s="985"/>
      <c r="E257" s="985"/>
      <c r="F257" s="985"/>
      <c r="G257" s="985"/>
      <c r="H257" s="811"/>
      <c r="I257" s="70"/>
      <c r="J257" s="70"/>
      <c r="K257" s="70"/>
      <c r="Q257" s="800" t="s">
        <v>7286</v>
      </c>
    </row>
    <row r="258" spans="1:17" ht="88.5" customHeight="1" x14ac:dyDescent="0.25">
      <c r="A258" s="82" t="s">
        <v>4379</v>
      </c>
      <c r="B258" s="966" t="s">
        <v>7291</v>
      </c>
      <c r="C258" s="966"/>
      <c r="D258" s="966"/>
      <c r="E258" s="966"/>
      <c r="F258" s="966"/>
      <c r="G258" s="966"/>
      <c r="H258" s="498"/>
      <c r="I258" s="70"/>
      <c r="J258" s="70"/>
      <c r="K258" s="70"/>
    </row>
    <row r="259" spans="1:17" ht="12.75" customHeight="1" x14ac:dyDescent="0.25">
      <c r="B259" s="498"/>
      <c r="C259" s="498"/>
      <c r="D259" s="498"/>
      <c r="E259" s="498"/>
      <c r="F259" s="498"/>
      <c r="G259" s="498"/>
      <c r="H259" s="498"/>
      <c r="I259" s="70"/>
      <c r="J259" s="70"/>
      <c r="K259" s="70"/>
    </row>
    <row r="260" spans="1:17" ht="15.75" customHeight="1" x14ac:dyDescent="0.25">
      <c r="B260" s="511" t="s">
        <v>7251</v>
      </c>
      <c r="C260" s="517"/>
      <c r="D260" s="365" t="str">
        <f>D243</f>
        <v xml:space="preserve"> Dezembro 2025</v>
      </c>
      <c r="E260" s="518"/>
      <c r="F260" s="365" t="str">
        <f>F243</f>
        <v xml:space="preserve"> Dezembro 2024</v>
      </c>
      <c r="G260" s="503"/>
      <c r="H260" s="70"/>
      <c r="I260" s="70"/>
      <c r="J260" s="70"/>
      <c r="K260" s="70"/>
    </row>
    <row r="261" spans="1:17" x14ac:dyDescent="0.25">
      <c r="B261" s="516" t="s">
        <v>6868</v>
      </c>
      <c r="C261" s="372"/>
      <c r="D261" s="366" t="e">
        <f>ROUND((#REF!+#REF!+#REF!+#REF!+#REF!+#REF!+#REF!)/1000,0)-4786-1</f>
        <v>#REF!</v>
      </c>
      <c r="E261" s="369"/>
      <c r="F261" s="366">
        <f>17671+787</f>
        <v>18458</v>
      </c>
      <c r="G261" s="505"/>
      <c r="H261" s="70"/>
      <c r="I261" s="823" t="s">
        <v>7338</v>
      </c>
      <c r="J261" s="70"/>
      <c r="K261" s="70"/>
    </row>
    <row r="262" spans="1:17" ht="15.75" customHeight="1" x14ac:dyDescent="0.25">
      <c r="B262" s="516" t="s">
        <v>6869</v>
      </c>
      <c r="C262" s="372"/>
      <c r="D262" s="366" t="e">
        <f>ROUND((#REF!+#REF!+#REF!+#REF!)/1000,0)</f>
        <v>#REF!</v>
      </c>
      <c r="E262" s="369"/>
      <c r="F262" s="366">
        <v>398</v>
      </c>
      <c r="G262" s="505"/>
      <c r="H262" s="70"/>
      <c r="I262" s="70"/>
      <c r="J262" s="70"/>
      <c r="K262" s="70"/>
    </row>
    <row r="263" spans="1:17" ht="15.75" customHeight="1" x14ac:dyDescent="0.25">
      <c r="B263" s="516" t="s">
        <v>6870</v>
      </c>
      <c r="C263" s="372"/>
      <c r="D263" s="488" t="e">
        <f>ROUND((#REF!+#REF!+#REF!+#REF!)/1000,0)</f>
        <v>#REF!</v>
      </c>
      <c r="E263" s="369"/>
      <c r="F263" s="93">
        <v>3504</v>
      </c>
      <c r="G263" s="505"/>
      <c r="H263" s="70"/>
      <c r="I263" s="70"/>
      <c r="J263" s="70"/>
      <c r="K263" s="70"/>
      <c r="Q263" s="801">
        <f>(4268767.16)/1000</f>
        <v>4268.7671600000003</v>
      </c>
    </row>
    <row r="264" spans="1:17" x14ac:dyDescent="0.25">
      <c r="B264" s="511" t="s">
        <v>6867</v>
      </c>
      <c r="C264" s="519"/>
      <c r="D264" s="566" t="e">
        <f>SUM(D261:D263)</f>
        <v>#REF!</v>
      </c>
      <c r="E264" s="520"/>
      <c r="F264" s="567">
        <f>SUM(F261:F263)</f>
        <v>22360</v>
      </c>
      <c r="G264" s="508"/>
      <c r="H264" s="70"/>
      <c r="K264" s="70"/>
    </row>
    <row r="265" spans="1:17" x14ac:dyDescent="0.25">
      <c r="B265" s="412"/>
      <c r="C265" s="372"/>
      <c r="D265" s="670"/>
      <c r="E265" s="359"/>
      <c r="F265" s="744"/>
      <c r="G265" s="70"/>
      <c r="H265" s="70"/>
      <c r="I265" s="70"/>
      <c r="J265" s="70"/>
      <c r="K265" s="70"/>
    </row>
    <row r="266" spans="1:17" x14ac:dyDescent="0.25">
      <c r="B266" s="412"/>
      <c r="C266" s="372"/>
      <c r="D266" s="670"/>
      <c r="E266" s="359"/>
      <c r="F266" s="744"/>
      <c r="G266" s="70"/>
      <c r="H266" s="70"/>
      <c r="I266" s="70"/>
      <c r="J266" s="70"/>
      <c r="K266" s="70"/>
    </row>
    <row r="267" spans="1:17" x14ac:dyDescent="0.25">
      <c r="B267" s="511" t="s">
        <v>7250</v>
      </c>
      <c r="C267" s="517"/>
      <c r="D267" s="365" t="str">
        <f>D260</f>
        <v xml:space="preserve"> Dezembro 2025</v>
      </c>
      <c r="E267" s="518"/>
      <c r="F267" s="365" t="str">
        <f>F260</f>
        <v xml:space="preserve"> Dezembro 2024</v>
      </c>
      <c r="G267" s="503"/>
      <c r="H267" s="70"/>
      <c r="I267" s="70"/>
      <c r="J267" s="70"/>
      <c r="K267" s="70"/>
    </row>
    <row r="268" spans="1:17" x14ac:dyDescent="0.25">
      <c r="B268" s="516" t="s">
        <v>6868</v>
      </c>
      <c r="C268" s="372"/>
      <c r="D268" s="366">
        <v>4786</v>
      </c>
      <c r="E268" s="369"/>
      <c r="F268" s="669">
        <v>0</v>
      </c>
      <c r="G268" s="505"/>
      <c r="H268" s="70"/>
      <c r="I268" s="70"/>
      <c r="J268" s="70"/>
      <c r="K268" s="70"/>
      <c r="Q268" s="801">
        <f>(69802104.75)/1000</f>
        <v>69802.104749999999</v>
      </c>
    </row>
    <row r="269" spans="1:17" x14ac:dyDescent="0.25">
      <c r="B269" s="516" t="s">
        <v>6869</v>
      </c>
      <c r="C269" s="372"/>
      <c r="D269" s="669">
        <v>0</v>
      </c>
      <c r="E269" s="369"/>
      <c r="F269" s="669">
        <v>0</v>
      </c>
      <c r="G269" s="505"/>
      <c r="H269" s="70"/>
      <c r="I269" s="70"/>
      <c r="J269" s="70"/>
      <c r="K269" s="70"/>
    </row>
    <row r="270" spans="1:17" x14ac:dyDescent="0.25">
      <c r="B270" s="516" t="s">
        <v>6870</v>
      </c>
      <c r="C270" s="372"/>
      <c r="D270" s="669">
        <v>0</v>
      </c>
      <c r="E270" s="369"/>
      <c r="F270" s="753">
        <v>0</v>
      </c>
      <c r="G270" s="505"/>
      <c r="H270" s="70"/>
      <c r="I270" s="70"/>
      <c r="J270" s="70"/>
      <c r="K270" s="70"/>
    </row>
    <row r="271" spans="1:17" x14ac:dyDescent="0.25">
      <c r="B271" s="511" t="s">
        <v>6867</v>
      </c>
      <c r="C271" s="519"/>
      <c r="D271" s="566">
        <f>SUM(D268:D270)</f>
        <v>4786</v>
      </c>
      <c r="E271" s="520"/>
      <c r="F271" s="754">
        <f>SUM(F268:F270)</f>
        <v>0</v>
      </c>
      <c r="G271" s="508"/>
      <c r="H271" s="70"/>
      <c r="I271" s="556" t="e">
        <f>ROUND(('1. BP (mil)'!H38+'1. BP (mil)'!H50-D264-D271),0)</f>
        <v>#REF!</v>
      </c>
      <c r="J271" s="556">
        <f>ROUND(('1. BP (mil)'!J38-F264),0)</f>
        <v>0</v>
      </c>
      <c r="K271" s="70"/>
    </row>
    <row r="272" spans="1:17" x14ac:dyDescent="0.25">
      <c r="B272" s="412"/>
      <c r="C272" s="372"/>
      <c r="D272" s="670"/>
      <c r="E272" s="359"/>
      <c r="F272" s="752"/>
      <c r="G272" s="752"/>
      <c r="H272" s="752"/>
      <c r="I272" s="752"/>
      <c r="J272" s="752"/>
      <c r="K272" s="70"/>
    </row>
    <row r="273" spans="2:103" ht="42.75" customHeight="1" x14ac:dyDescent="0.25">
      <c r="B273" s="966" t="s">
        <v>7274</v>
      </c>
      <c r="C273" s="966"/>
      <c r="D273" s="966"/>
      <c r="E273" s="966"/>
      <c r="F273" s="966"/>
      <c r="G273" s="966"/>
      <c r="H273" s="498"/>
      <c r="I273" s="752"/>
      <c r="J273" s="752"/>
      <c r="K273" s="70"/>
    </row>
    <row r="274" spans="2:103" hidden="1" x14ac:dyDescent="0.25">
      <c r="B274" s="412"/>
      <c r="C274" s="372"/>
      <c r="D274" s="670"/>
      <c r="E274" s="359"/>
      <c r="F274" s="752"/>
      <c r="G274" s="752"/>
      <c r="H274" s="752"/>
      <c r="I274" s="752"/>
      <c r="J274" s="752"/>
      <c r="K274" s="70"/>
    </row>
    <row r="275" spans="2:103" ht="13.5" customHeight="1" x14ac:dyDescent="0.25">
      <c r="B275" s="966"/>
      <c r="C275" s="966"/>
      <c r="D275" s="966"/>
      <c r="E275" s="966"/>
      <c r="F275" s="966"/>
      <c r="G275" s="966"/>
      <c r="H275" s="498"/>
      <c r="I275" s="70"/>
      <c r="J275" s="70"/>
      <c r="K275" s="70"/>
    </row>
    <row r="276" spans="2:103" x14ac:dyDescent="0.25">
      <c r="B276" s="412"/>
      <c r="C276" s="372"/>
      <c r="D276" s="670"/>
      <c r="E276" s="359"/>
      <c r="F276" s="744"/>
      <c r="G276" s="70"/>
      <c r="H276" s="70"/>
      <c r="I276" s="590"/>
      <c r="J276" s="70"/>
      <c r="K276" s="70"/>
    </row>
    <row r="277" spans="2:103" x14ac:dyDescent="0.25">
      <c r="B277" s="988"/>
      <c r="C277" s="988"/>
      <c r="D277" s="988"/>
      <c r="E277" s="988"/>
      <c r="F277" s="988"/>
      <c r="G277" s="988"/>
      <c r="H277" s="607"/>
      <c r="I277" s="590"/>
      <c r="J277" s="70"/>
      <c r="K277" s="70"/>
      <c r="CS277" s="844"/>
      <c r="CT277" s="844"/>
      <c r="CU277" s="844"/>
      <c r="CV277" s="844"/>
      <c r="CW277" s="844"/>
    </row>
    <row r="278" spans="2:103" s="745" customFormat="1" ht="16.5" customHeight="1" x14ac:dyDescent="0.25">
      <c r="B278" s="730"/>
      <c r="C278" s="730"/>
      <c r="D278" s="730"/>
      <c r="E278" s="730"/>
      <c r="F278" s="730"/>
      <c r="G278" s="730"/>
      <c r="H278" s="730"/>
      <c r="I278" s="590"/>
      <c r="J278" s="590"/>
      <c r="K278" s="590"/>
      <c r="CS278" s="996" t="s">
        <v>7327</v>
      </c>
      <c r="CT278" s="998" t="s">
        <v>7328</v>
      </c>
      <c r="CU278" s="998"/>
      <c r="CV278" s="998"/>
      <c r="CW278" s="914" t="s">
        <v>4514</v>
      </c>
      <c r="CX278"/>
      <c r="CY278"/>
    </row>
    <row r="279" spans="2:103" s="745" customFormat="1" x14ac:dyDescent="0.25">
      <c r="B279" s="412"/>
      <c r="C279" s="736"/>
      <c r="D279" s="746"/>
      <c r="E279" s="359"/>
      <c r="F279" s="746"/>
      <c r="G279" s="730"/>
      <c r="H279" s="730"/>
      <c r="I279" s="590"/>
      <c r="J279" s="590"/>
      <c r="K279" s="590"/>
      <c r="CS279" s="997"/>
      <c r="CT279" s="915" t="s">
        <v>7329</v>
      </c>
      <c r="CU279" s="916" t="s">
        <v>7330</v>
      </c>
      <c r="CV279" s="916" t="s">
        <v>7331</v>
      </c>
      <c r="CW279" s="916" t="s">
        <v>7330</v>
      </c>
      <c r="CX279"/>
      <c r="CY279"/>
    </row>
    <row r="280" spans="2:103" s="745" customFormat="1" x14ac:dyDescent="0.25">
      <c r="B280" s="747"/>
      <c r="C280" s="736"/>
      <c r="D280" s="748"/>
      <c r="E280" s="749"/>
      <c r="F280" s="750"/>
      <c r="G280" s="730"/>
      <c r="H280" s="730"/>
      <c r="I280" s="590"/>
      <c r="J280" s="590"/>
      <c r="K280" s="590"/>
      <c r="CS280" s="917" t="s">
        <v>7332</v>
      </c>
      <c r="CT280" s="920">
        <f>1881762.24/1000</f>
        <v>1881.76224</v>
      </c>
      <c r="CU280" s="920">
        <f>187472.04/1000</f>
        <v>187.47204000000002</v>
      </c>
      <c r="CV280" s="920">
        <f>2069234.28/1000</f>
        <v>2069.2342800000001</v>
      </c>
      <c r="CW280" s="920">
        <f>4786413.59/1000</f>
        <v>4786.4135900000001</v>
      </c>
      <c r="CX280"/>
      <c r="CY280"/>
    </row>
    <row r="281" spans="2:103" s="745" customFormat="1" x14ac:dyDescent="0.25">
      <c r="B281" s="747"/>
      <c r="C281" s="736"/>
      <c r="D281" s="748"/>
      <c r="E281" s="749"/>
      <c r="F281" s="750"/>
      <c r="G281" s="730"/>
      <c r="H281" s="730"/>
      <c r="I281" s="590"/>
      <c r="J281" s="590"/>
      <c r="K281" s="590"/>
      <c r="CS281" s="918">
        <v>2026</v>
      </c>
      <c r="CT281" s="920">
        <f>2652065.96/1000</f>
        <v>2652.0659599999999</v>
      </c>
      <c r="CU281" s="920"/>
      <c r="CV281" s="920">
        <f>2652065.96/1000</f>
        <v>2652.0659599999999</v>
      </c>
      <c r="CW281" s="921">
        <v>0</v>
      </c>
      <c r="CX281"/>
      <c r="CY281"/>
    </row>
    <row r="282" spans="2:103" s="745" customFormat="1" x14ac:dyDescent="0.25">
      <c r="B282" s="747"/>
      <c r="C282" s="736"/>
      <c r="D282" s="355"/>
      <c r="E282" s="749"/>
      <c r="F282" s="751"/>
      <c r="G282" s="730"/>
      <c r="H282" s="730"/>
      <c r="I282" s="590"/>
      <c r="J282" s="590"/>
      <c r="K282" s="590"/>
      <c r="CS282" s="919" t="s">
        <v>4358</v>
      </c>
      <c r="CT282" s="922">
        <f>SUM(CT280:CT281)</f>
        <v>4533.8281999999999</v>
      </c>
      <c r="CU282" s="922">
        <f t="shared" ref="CU282:CV282" si="2">SUM(CU280:CU281)</f>
        <v>187.47204000000002</v>
      </c>
      <c r="CV282" s="922">
        <f t="shared" si="2"/>
        <v>4721.3002400000005</v>
      </c>
      <c r="CW282" s="922">
        <f>SUM(CW280:CW281)</f>
        <v>4786.4135900000001</v>
      </c>
      <c r="CX282"/>
      <c r="CY282"/>
    </row>
    <row r="283" spans="2:103" s="745" customFormat="1" x14ac:dyDescent="0.25">
      <c r="B283" s="412"/>
      <c r="C283" s="736"/>
      <c r="D283" s="670"/>
      <c r="E283" s="359"/>
      <c r="F283" s="752"/>
      <c r="G283" s="730"/>
      <c r="H283" s="730"/>
      <c r="I283" s="590"/>
      <c r="J283" s="590"/>
      <c r="K283" s="590"/>
      <c r="CX283"/>
      <c r="CY283"/>
    </row>
    <row r="284" spans="2:103" ht="12.75" customHeight="1" x14ac:dyDescent="0.25">
      <c r="B284" s="761"/>
      <c r="C284" s="761"/>
      <c r="D284" s="761"/>
      <c r="E284" s="761"/>
      <c r="F284" s="761"/>
      <c r="G284" s="497"/>
      <c r="H284" s="497"/>
      <c r="I284" s="70"/>
      <c r="J284" s="70"/>
      <c r="K284" s="70"/>
    </row>
    <row r="285" spans="2:103" x14ac:dyDescent="0.25">
      <c r="B285" s="572" t="e">
        <f xml:space="preserve"> CONCATENATE(#REF!," - OBRIGAÇÕES COM CLIENTES")</f>
        <v>#REF!</v>
      </c>
      <c r="I285" s="70"/>
      <c r="J285" s="70"/>
      <c r="K285" s="70"/>
    </row>
    <row r="286" spans="2:103" ht="34.5" customHeight="1" x14ac:dyDescent="0.25">
      <c r="B286" s="966" t="s">
        <v>6871</v>
      </c>
      <c r="C286" s="966"/>
      <c r="D286" s="966"/>
      <c r="E286" s="966"/>
      <c r="F286" s="966"/>
      <c r="G286" s="966"/>
      <c r="H286" s="498"/>
      <c r="I286" s="70"/>
      <c r="J286" s="70"/>
      <c r="K286" s="70"/>
    </row>
    <row r="287" spans="2:103" x14ac:dyDescent="0.25">
      <c r="B287" s="977"/>
      <c r="C287" s="977"/>
      <c r="D287" s="977"/>
      <c r="E287" s="977"/>
      <c r="F287" s="977"/>
      <c r="G287" s="977"/>
      <c r="H287" s="497"/>
      <c r="I287" s="70"/>
      <c r="J287" s="70"/>
      <c r="K287" s="70"/>
    </row>
    <row r="288" spans="2:103" x14ac:dyDescent="0.25">
      <c r="B288" s="511" t="s">
        <v>4508</v>
      </c>
      <c r="C288" s="529"/>
      <c r="D288" s="530" t="str">
        <f>D260</f>
        <v xml:space="preserve"> Dezembro 2025</v>
      </c>
      <c r="E288" s="531"/>
      <c r="F288" s="530" t="str">
        <f>F260</f>
        <v xml:space="preserve"> Dezembro 2024</v>
      </c>
      <c r="G288" s="503"/>
      <c r="H288" s="70"/>
      <c r="I288" s="699">
        <v>25</v>
      </c>
      <c r="J288" s="699">
        <v>24</v>
      </c>
      <c r="K288" s="70"/>
    </row>
    <row r="289" spans="2:17" x14ac:dyDescent="0.25">
      <c r="B289" s="516" t="s">
        <v>4511</v>
      </c>
      <c r="C289" s="372"/>
      <c r="D289" s="673">
        <f>ROUND(33042.62/1000,0)</f>
        <v>33</v>
      </c>
      <c r="E289" s="92"/>
      <c r="F289" s="376">
        <v>104</v>
      </c>
      <c r="G289" s="505"/>
      <c r="H289" s="70"/>
      <c r="I289" s="699"/>
      <c r="J289" s="699"/>
      <c r="K289" s="70"/>
    </row>
    <row r="290" spans="2:17" x14ac:dyDescent="0.25">
      <c r="B290" s="516" t="s">
        <v>7247</v>
      </c>
      <c r="C290" s="372"/>
      <c r="D290" s="673">
        <f>ROUND(382250.28/1000,0)</f>
        <v>382</v>
      </c>
      <c r="E290" s="92"/>
      <c r="F290" s="376">
        <v>0</v>
      </c>
      <c r="G290" s="505"/>
      <c r="H290" s="70"/>
      <c r="I290" s="699"/>
      <c r="J290" s="699"/>
      <c r="K290" s="70"/>
    </row>
    <row r="291" spans="2:17" x14ac:dyDescent="0.25">
      <c r="B291" s="516" t="s">
        <v>6872</v>
      </c>
      <c r="C291" s="372"/>
      <c r="D291" s="673">
        <f>ROUND(1890212.34/1000,0)</f>
        <v>1890</v>
      </c>
      <c r="E291" s="92"/>
      <c r="F291" s="376">
        <v>1890</v>
      </c>
      <c r="G291" s="505"/>
      <c r="H291" s="70"/>
      <c r="I291" s="729"/>
      <c r="J291" s="699"/>
      <c r="K291" s="70"/>
    </row>
    <row r="292" spans="2:17" x14ac:dyDescent="0.25">
      <c r="B292" s="516" t="s">
        <v>4509</v>
      </c>
      <c r="C292" s="372"/>
      <c r="D292" s="673">
        <f>ROUND(33245085.3/1000,0)</f>
        <v>33245</v>
      </c>
      <c r="E292" s="92"/>
      <c r="F292" s="376">
        <v>32398</v>
      </c>
      <c r="G292" s="505"/>
      <c r="H292" s="70"/>
      <c r="I292" s="478"/>
      <c r="J292" s="70"/>
      <c r="K292" s="70"/>
    </row>
    <row r="293" spans="2:17" x14ac:dyDescent="0.25">
      <c r="B293" s="516" t="s">
        <v>6873</v>
      </c>
      <c r="C293" s="372"/>
      <c r="D293" s="673">
        <f>ROUND(6966259.47/1000,0)</f>
        <v>6966</v>
      </c>
      <c r="E293" s="92"/>
      <c r="F293" s="376">
        <v>6966</v>
      </c>
      <c r="G293" s="505"/>
      <c r="H293" s="70"/>
      <c r="I293" s="478"/>
      <c r="J293" s="70"/>
      <c r="K293" s="70"/>
    </row>
    <row r="294" spans="2:17" x14ac:dyDescent="0.25">
      <c r="B294" s="516" t="s">
        <v>6874</v>
      </c>
      <c r="C294" s="372"/>
      <c r="D294" s="673">
        <f>ROUND(2350620.44/1000,0)</f>
        <v>2351</v>
      </c>
      <c r="E294" s="92"/>
      <c r="F294" s="376">
        <v>2351</v>
      </c>
      <c r="G294" s="505"/>
      <c r="H294" s="70"/>
      <c r="I294" s="478"/>
      <c r="J294" s="479"/>
      <c r="K294" s="479"/>
    </row>
    <row r="295" spans="2:17" x14ac:dyDescent="0.25">
      <c r="B295" s="516" t="s">
        <v>6875</v>
      </c>
      <c r="C295" s="372"/>
      <c r="D295" s="673">
        <f>ROUND(1760435.57/1000,0)</f>
        <v>1760</v>
      </c>
      <c r="E295" s="92"/>
      <c r="F295" s="376">
        <v>1761</v>
      </c>
      <c r="G295" s="505"/>
      <c r="H295" s="70"/>
      <c r="I295" s="478"/>
      <c r="J295" s="70"/>
      <c r="K295" s="70"/>
    </row>
    <row r="296" spans="2:17" ht="15.75" customHeight="1" x14ac:dyDescent="0.25">
      <c r="B296" s="516" t="s">
        <v>5653</v>
      </c>
      <c r="C296" s="372"/>
      <c r="D296" s="673">
        <f>ROUND(1422666.46/1000,0)+1</f>
        <v>1424</v>
      </c>
      <c r="E296" s="92"/>
      <c r="F296" s="376">
        <v>275</v>
      </c>
      <c r="G296" s="505"/>
      <c r="H296" s="70"/>
      <c r="I296" s="729" t="s">
        <v>7232</v>
      </c>
      <c r="J296" s="70"/>
      <c r="K296" s="70"/>
    </row>
    <row r="297" spans="2:17" x14ac:dyDescent="0.25">
      <c r="B297" s="511" t="s">
        <v>4503</v>
      </c>
      <c r="C297" s="519"/>
      <c r="D297" s="566">
        <f>SUM(D289:D296)</f>
        <v>48051</v>
      </c>
      <c r="E297" s="520"/>
      <c r="F297" s="567">
        <f>SUM(F289:F296)</f>
        <v>45745</v>
      </c>
      <c r="G297" s="508"/>
      <c r="H297" s="70"/>
      <c r="I297" s="556">
        <f>ROUND(('1. BP (mil)'!H39-D297),0)</f>
        <v>0</v>
      </c>
      <c r="J297" s="556">
        <f>ROUND(('1. BP (mil)'!J39-F297),0)</f>
        <v>0</v>
      </c>
      <c r="K297" s="70"/>
    </row>
    <row r="298" spans="2:17" x14ac:dyDescent="0.25">
      <c r="B298" s="977"/>
      <c r="C298" s="977"/>
      <c r="D298" s="977"/>
      <c r="E298" s="977"/>
      <c r="F298" s="977"/>
      <c r="G298" s="977"/>
      <c r="H298" s="497"/>
      <c r="I298" s="70"/>
      <c r="J298" s="70"/>
      <c r="K298" s="70"/>
    </row>
    <row r="299" spans="2:17" x14ac:dyDescent="0.25">
      <c r="B299" s="985" t="e">
        <f xml:space="preserve"> CONCATENATE(#REF!," - OUTRAS OBRIGAÇÕES")</f>
        <v>#REF!</v>
      </c>
      <c r="C299" s="985"/>
      <c r="D299" s="985"/>
      <c r="E299" s="985"/>
      <c r="F299" s="985"/>
      <c r="G299" s="985"/>
      <c r="H299" s="811"/>
      <c r="I299" s="70"/>
      <c r="J299" s="70"/>
      <c r="K299" s="70"/>
      <c r="Q299" s="800" t="s">
        <v>7286</v>
      </c>
    </row>
    <row r="300" spans="2:17" s="573" customFormat="1" ht="35.25" customHeight="1" x14ac:dyDescent="0.2">
      <c r="B300" s="966" t="s">
        <v>6876</v>
      </c>
      <c r="C300" s="966"/>
      <c r="D300" s="966"/>
      <c r="E300" s="966"/>
      <c r="F300" s="966"/>
      <c r="G300" s="966"/>
      <c r="H300" s="498"/>
      <c r="I300" s="484"/>
      <c r="J300" s="484"/>
      <c r="K300" s="484"/>
    </row>
    <row r="301" spans="2:17" x14ac:dyDescent="0.25">
      <c r="B301" s="977"/>
      <c r="C301" s="977"/>
      <c r="D301" s="977"/>
      <c r="E301" s="977"/>
      <c r="F301" s="977"/>
      <c r="G301" s="977"/>
      <c r="H301" s="497"/>
      <c r="I301" s="70"/>
      <c r="J301" s="70"/>
      <c r="K301" s="70"/>
    </row>
    <row r="302" spans="2:17" x14ac:dyDescent="0.25">
      <c r="B302" s="511" t="s">
        <v>4512</v>
      </c>
      <c r="C302" s="529"/>
      <c r="D302" s="530" t="str">
        <f>D288</f>
        <v xml:space="preserve"> Dezembro 2025</v>
      </c>
      <c r="E302" s="533"/>
      <c r="F302" s="530" t="str">
        <f>F288</f>
        <v xml:space="preserve"> Dezembro 2024</v>
      </c>
      <c r="G302" s="503"/>
      <c r="H302" s="70"/>
      <c r="I302" s="70"/>
      <c r="J302" s="70"/>
      <c r="K302" s="70"/>
    </row>
    <row r="303" spans="2:17" x14ac:dyDescent="0.25">
      <c r="B303" s="516" t="s">
        <v>6877</v>
      </c>
      <c r="C303" s="372"/>
      <c r="D303" s="575" t="e">
        <f>ROUND(#REF!/1000,0)-1</f>
        <v>#REF!</v>
      </c>
      <c r="E303" s="92"/>
      <c r="F303" s="376">
        <v>291</v>
      </c>
      <c r="G303" s="505"/>
      <c r="H303" s="70"/>
      <c r="I303" s="729" t="s">
        <v>7233</v>
      </c>
      <c r="J303" s="70"/>
      <c r="K303" s="70"/>
    </row>
    <row r="304" spans="2:17" x14ac:dyDescent="0.25">
      <c r="B304" s="516" t="s">
        <v>6878</v>
      </c>
      <c r="C304" s="372"/>
      <c r="D304" s="575" t="e">
        <f>ROUND(#REF!/1000,0)</f>
        <v>#REF!</v>
      </c>
      <c r="E304" s="92"/>
      <c r="F304" s="376">
        <v>15</v>
      </c>
      <c r="G304" s="505"/>
      <c r="H304" s="70"/>
      <c r="I304" s="729"/>
      <c r="J304" s="70"/>
      <c r="K304" s="70"/>
    </row>
    <row r="305" spans="2:37" x14ac:dyDescent="0.25">
      <c r="B305" s="516" t="s">
        <v>6879</v>
      </c>
      <c r="C305" s="372"/>
      <c r="D305" s="575" t="e">
        <f>ROUND((#REF!+#REF!)/1000,0)-1</f>
        <v>#REF!</v>
      </c>
      <c r="E305" s="92"/>
      <c r="F305" s="376">
        <v>1176</v>
      </c>
      <c r="G305" s="505"/>
      <c r="H305" s="70"/>
      <c r="I305" s="729" t="s">
        <v>7233</v>
      </c>
      <c r="J305" s="70"/>
      <c r="K305" s="70"/>
    </row>
    <row r="306" spans="2:37" x14ac:dyDescent="0.25">
      <c r="B306" s="516" t="s">
        <v>6880</v>
      </c>
      <c r="C306" s="372"/>
      <c r="D306" s="575" t="e">
        <f>ROUND(#REF!/1000,0)</f>
        <v>#REF!</v>
      </c>
      <c r="E306" s="92"/>
      <c r="F306" s="376">
        <v>1492</v>
      </c>
      <c r="G306" s="505"/>
      <c r="H306" s="70"/>
      <c r="I306" s="729"/>
      <c r="J306" s="70"/>
      <c r="K306" s="70"/>
    </row>
    <row r="307" spans="2:37" x14ac:dyDescent="0.25">
      <c r="B307" s="516" t="s">
        <v>6881</v>
      </c>
      <c r="C307" s="372"/>
      <c r="D307" s="376" t="e">
        <f>ROUND(#REF!/1000,0)</f>
        <v>#REF!</v>
      </c>
      <c r="E307" s="92"/>
      <c r="F307" s="376">
        <v>737</v>
      </c>
      <c r="G307" s="505"/>
      <c r="H307" s="70"/>
      <c r="I307" s="729"/>
      <c r="J307" s="70"/>
      <c r="K307" s="70"/>
    </row>
    <row r="308" spans="2:37" x14ac:dyDescent="0.25">
      <c r="B308" s="516" t="s">
        <v>1331</v>
      </c>
      <c r="D308" s="376" t="e">
        <f>ROUND((#REF!+#REF!+#REF!+#REF!+#REF!+#REF!+#REF!)/1000,0)</f>
        <v>#REF!</v>
      </c>
      <c r="F308" s="534">
        <v>0</v>
      </c>
      <c r="G308" s="505"/>
      <c r="H308" s="70"/>
      <c r="I308" s="729"/>
      <c r="J308" s="70"/>
      <c r="K308" s="70"/>
      <c r="Q308" s="801">
        <f>(2594070.28/1000)</f>
        <v>2594.0702799999999</v>
      </c>
    </row>
    <row r="309" spans="2:37" x14ac:dyDescent="0.25">
      <c r="B309" s="511" t="s">
        <v>4503</v>
      </c>
      <c r="C309" s="519"/>
      <c r="D309" s="566" t="e">
        <f>SUM(D303:D308)</f>
        <v>#REF!</v>
      </c>
      <c r="E309" s="520"/>
      <c r="F309" s="567">
        <f>SUM(F303:F308)</f>
        <v>3711</v>
      </c>
      <c r="G309" s="508"/>
      <c r="H309" s="70"/>
      <c r="I309" s="556" t="e">
        <f>ROUND(('1. BP (mil)'!H40-D309),0)</f>
        <v>#REF!</v>
      </c>
      <c r="J309" s="556">
        <f>ROUND(('1. BP (mil)'!J40-F309),0)</f>
        <v>0</v>
      </c>
      <c r="K309" s="70"/>
    </row>
    <row r="310" spans="2:37" x14ac:dyDescent="0.25">
      <c r="B310" s="977"/>
      <c r="C310" s="977"/>
      <c r="D310" s="977"/>
      <c r="E310" s="977"/>
      <c r="F310" s="977"/>
      <c r="G310" s="977"/>
      <c r="H310" s="497"/>
      <c r="I310" s="70"/>
      <c r="J310" s="70"/>
      <c r="K310" s="70"/>
    </row>
    <row r="311" spans="2:37" x14ac:dyDescent="0.25">
      <c r="B311" s="986" t="e">
        <f xml:space="preserve"> CONCATENATE(#REF!," - PREVIDÊNCIA PRIVADA - NUCLEOS ")</f>
        <v>#REF!</v>
      </c>
      <c r="C311" s="986"/>
      <c r="D311" s="986"/>
      <c r="E311" s="986"/>
      <c r="F311" s="986"/>
      <c r="G311" s="986"/>
      <c r="H311" s="814"/>
      <c r="I311" s="70"/>
      <c r="J311" s="70"/>
      <c r="K311" s="70"/>
    </row>
    <row r="312" spans="2:37" x14ac:dyDescent="0.25">
      <c r="B312" s="497"/>
      <c r="C312" s="497"/>
      <c r="D312" s="497"/>
      <c r="E312" s="497"/>
      <c r="F312" s="497"/>
      <c r="G312" s="497"/>
      <c r="H312" s="497"/>
      <c r="I312" s="70"/>
      <c r="J312" s="70"/>
      <c r="K312" s="70"/>
    </row>
    <row r="313" spans="2:37" x14ac:dyDescent="0.25">
      <c r="B313" s="497"/>
      <c r="C313" s="497"/>
      <c r="D313" s="497"/>
      <c r="E313" s="497"/>
      <c r="F313" s="497"/>
      <c r="G313" s="497"/>
      <c r="H313" s="497"/>
      <c r="I313" s="70"/>
      <c r="J313" s="70"/>
      <c r="K313" s="70"/>
      <c r="Q313" s="548" t="s">
        <v>6889</v>
      </c>
      <c r="R313" s="845"/>
      <c r="S313" s="979" t="str">
        <f>D302</f>
        <v xml:space="preserve"> Dezembro 2025</v>
      </c>
      <c r="T313" s="980"/>
      <c r="U313" s="980"/>
      <c r="V313" s="846"/>
      <c r="W313" s="847" t="s">
        <v>4503</v>
      </c>
      <c r="X313" s="574"/>
      <c r="Y313" s="979" t="str">
        <f>F302</f>
        <v xml:space="preserve"> Dezembro 2024</v>
      </c>
      <c r="Z313" s="980"/>
      <c r="AA313" s="980"/>
      <c r="AB313" s="574"/>
      <c r="AC313" s="848" t="s">
        <v>4503</v>
      </c>
    </row>
    <row r="314" spans="2:37" x14ac:dyDescent="0.25">
      <c r="B314" s="497"/>
      <c r="C314" s="497"/>
      <c r="D314" s="497"/>
      <c r="E314" s="497"/>
      <c r="F314" s="497"/>
      <c r="G314" s="497"/>
      <c r="H314" s="497"/>
      <c r="I314" s="70"/>
      <c r="J314" s="70"/>
      <c r="K314" s="70"/>
      <c r="Q314" s="554"/>
      <c r="R314" s="380"/>
      <c r="S314" s="379" t="s">
        <v>4510</v>
      </c>
      <c r="T314" s="381"/>
      <c r="U314" s="379" t="s">
        <v>4514</v>
      </c>
      <c r="V314" s="382"/>
      <c r="W314" s="574"/>
      <c r="X314" s="70"/>
      <c r="Y314" s="379" t="s">
        <v>4510</v>
      </c>
      <c r="Z314" s="381"/>
      <c r="AA314" s="379" t="s">
        <v>4514</v>
      </c>
      <c r="AB314" s="70"/>
      <c r="AC314" s="503"/>
    </row>
    <row r="315" spans="2:37" x14ac:dyDescent="0.25">
      <c r="B315" s="497"/>
      <c r="C315" s="497"/>
      <c r="D315" s="497"/>
      <c r="E315" s="497"/>
      <c r="F315" s="497"/>
      <c r="G315" s="497"/>
      <c r="H315" s="497"/>
      <c r="I315" s="70"/>
      <c r="J315" s="70"/>
      <c r="K315" s="70"/>
      <c r="Q315" s="516" t="s">
        <v>7265</v>
      </c>
      <c r="R315" s="380"/>
      <c r="S315" s="376">
        <f>26133+1612</f>
        <v>27745</v>
      </c>
      <c r="T315" s="91"/>
      <c r="U315" s="376">
        <v>220204</v>
      </c>
      <c r="V315" s="378"/>
      <c r="W315" s="376">
        <f>S315+U315</f>
        <v>247949</v>
      </c>
      <c r="X315" s="70"/>
      <c r="Y315" s="376">
        <v>25160</v>
      </c>
      <c r="Z315" s="91"/>
      <c r="AA315" s="376">
        <v>224741</v>
      </c>
      <c r="AB315" s="70"/>
      <c r="AC315" s="849">
        <f>Y315+AA315</f>
        <v>249901</v>
      </c>
    </row>
    <row r="316" spans="2:37" x14ac:dyDescent="0.25">
      <c r="B316" s="497"/>
      <c r="C316" s="497"/>
      <c r="D316" s="497"/>
      <c r="E316" s="497"/>
      <c r="F316" s="497"/>
      <c r="G316" s="497"/>
      <c r="H316" s="497"/>
      <c r="I316" s="70"/>
      <c r="J316" s="70"/>
      <c r="K316" s="70"/>
      <c r="Q316" s="850" t="s">
        <v>7260</v>
      </c>
      <c r="R316" s="380"/>
      <c r="S316" s="578">
        <v>2930</v>
      </c>
      <c r="T316" s="91"/>
      <c r="U316" s="578">
        <v>35456</v>
      </c>
      <c r="V316" s="378"/>
      <c r="W316" s="578">
        <f>S316+U316</f>
        <v>38386</v>
      </c>
      <c r="X316" s="70"/>
      <c r="Y316" s="578">
        <v>2685</v>
      </c>
      <c r="Z316" s="91"/>
      <c r="AA316" s="578">
        <v>33597</v>
      </c>
      <c r="AB316" s="70"/>
      <c r="AC316" s="851">
        <f>Y316+AA316</f>
        <v>36282</v>
      </c>
      <c r="AE316" s="84">
        <v>-1</v>
      </c>
      <c r="AG316" s="84">
        <v>-1</v>
      </c>
    </row>
    <row r="317" spans="2:37" x14ac:dyDescent="0.25">
      <c r="B317" s="497"/>
      <c r="C317" s="497"/>
      <c r="D317" s="497"/>
      <c r="E317" s="497"/>
      <c r="F317" s="497"/>
      <c r="G317" s="497"/>
      <c r="H317" s="497"/>
      <c r="I317" s="556">
        <f>AE317</f>
        <v>0</v>
      </c>
      <c r="J317" s="556">
        <f>AG317</f>
        <v>0</v>
      </c>
      <c r="K317" s="70"/>
      <c r="Q317" s="549" t="s">
        <v>4503</v>
      </c>
      <c r="R317" s="852"/>
      <c r="S317" s="853">
        <f>S315+S316</f>
        <v>30675</v>
      </c>
      <c r="T317" s="854"/>
      <c r="U317" s="853">
        <f>U315+U316</f>
        <v>255660</v>
      </c>
      <c r="V317" s="855"/>
      <c r="W317" s="856">
        <f>S317+U317</f>
        <v>286335</v>
      </c>
      <c r="X317" s="536"/>
      <c r="Y317" s="853">
        <f>Y315+Y316</f>
        <v>27845</v>
      </c>
      <c r="Z317" s="854"/>
      <c r="AA317" s="853">
        <f>AA315+AA316</f>
        <v>258338</v>
      </c>
      <c r="AB317" s="536"/>
      <c r="AC317" s="857">
        <f>Y317+AA317</f>
        <v>286183</v>
      </c>
      <c r="AE317" s="640">
        <f>ROUND((S317-'1. BP (mil)'!H41),0)</f>
        <v>0</v>
      </c>
      <c r="AF317" s="477"/>
      <c r="AG317" s="640">
        <f>ROUND((U317-'1. BP (mil)'!H51),0)</f>
        <v>0</v>
      </c>
      <c r="AH317" s="70"/>
      <c r="AI317" s="640">
        <f>Y317-'1. BP (mil)'!J41</f>
        <v>0</v>
      </c>
      <c r="AJ317" s="477"/>
      <c r="AK317" s="640">
        <f>AA317-'1. BP (mil)'!J51</f>
        <v>0</v>
      </c>
    </row>
    <row r="318" spans="2:37" x14ac:dyDescent="0.25">
      <c r="B318" s="497"/>
      <c r="C318" s="497"/>
      <c r="D318" s="497"/>
      <c r="E318" s="497"/>
      <c r="F318" s="497"/>
      <c r="G318" s="497"/>
      <c r="H318" s="497"/>
      <c r="I318" s="70"/>
      <c r="J318" s="70"/>
      <c r="K318" s="70"/>
    </row>
    <row r="319" spans="2:37" x14ac:dyDescent="0.25">
      <c r="B319" s="986" t="e">
        <f>CONCATENATE(#REF!,".1 - TERMO DE TRANSAÇÃO")</f>
        <v>#REF!</v>
      </c>
      <c r="C319" s="986"/>
      <c r="D319" s="986"/>
      <c r="E319" s="986"/>
      <c r="F319" s="986"/>
      <c r="G319" s="986"/>
      <c r="H319" s="814"/>
      <c r="I319" s="70"/>
      <c r="J319" s="70"/>
      <c r="K319" s="70"/>
    </row>
    <row r="320" spans="2:37" ht="81" customHeight="1" x14ac:dyDescent="0.25">
      <c r="B320" s="966" t="s">
        <v>6882</v>
      </c>
      <c r="C320" s="966"/>
      <c r="D320" s="966"/>
      <c r="E320" s="966"/>
      <c r="F320" s="966"/>
      <c r="G320" s="966"/>
      <c r="H320" s="498"/>
      <c r="I320" s="70"/>
      <c r="J320" s="70"/>
      <c r="K320" s="70"/>
    </row>
    <row r="321" spans="2:37" x14ac:dyDescent="0.25">
      <c r="B321" s="977"/>
      <c r="C321" s="977"/>
      <c r="D321" s="977"/>
      <c r="E321" s="977"/>
      <c r="F321" s="977"/>
      <c r="G321" s="977"/>
      <c r="H321" s="497"/>
      <c r="I321" s="70"/>
      <c r="J321" s="70"/>
      <c r="K321" s="70"/>
    </row>
    <row r="322" spans="2:37" x14ac:dyDescent="0.25">
      <c r="B322" s="986" t="e">
        <f>CONCATENATE(#REF!,".2 - PLANO DE EQUACIONAMENTO DE DÉFICIT ( PED-2021)")</f>
        <v>#REF!</v>
      </c>
      <c r="C322" s="986"/>
      <c r="D322" s="986"/>
      <c r="E322" s="986"/>
      <c r="F322" s="986"/>
      <c r="G322" s="986"/>
      <c r="H322" s="814"/>
      <c r="I322" s="70"/>
      <c r="J322" s="70"/>
      <c r="K322" s="70"/>
    </row>
    <row r="323" spans="2:37" ht="66.75" customHeight="1" x14ac:dyDescent="0.25">
      <c r="B323" s="966" t="s">
        <v>6883</v>
      </c>
      <c r="C323" s="966"/>
      <c r="D323" s="966"/>
      <c r="E323" s="966"/>
      <c r="F323" s="966"/>
      <c r="G323" s="966"/>
      <c r="H323" s="498"/>
      <c r="I323" s="70"/>
      <c r="J323" s="70"/>
      <c r="K323" s="70"/>
    </row>
    <row r="324" spans="2:37" ht="50.25" customHeight="1" x14ac:dyDescent="0.25">
      <c r="B324" s="966" t="s">
        <v>7190</v>
      </c>
      <c r="C324" s="966"/>
      <c r="D324" s="966"/>
      <c r="E324" s="966"/>
      <c r="F324" s="966"/>
      <c r="G324" s="966"/>
      <c r="H324" s="498"/>
      <c r="I324" s="70"/>
      <c r="J324" s="70"/>
      <c r="K324" s="70"/>
      <c r="N324" s="573"/>
    </row>
    <row r="325" spans="2:37" x14ac:dyDescent="0.25">
      <c r="B325" s="977"/>
      <c r="C325" s="977"/>
      <c r="D325" s="977"/>
      <c r="E325" s="977"/>
      <c r="F325" s="977"/>
      <c r="G325" s="977"/>
      <c r="H325" s="497"/>
      <c r="I325" s="70"/>
      <c r="J325" s="70"/>
      <c r="K325" s="70"/>
    </row>
    <row r="326" spans="2:37" x14ac:dyDescent="0.25">
      <c r="B326" s="986" t="e">
        <f xml:space="preserve"> CONCATENATE(#REF!," - RECEITA DE SUBVENÇÃO A REALIZAR")</f>
        <v>#REF!</v>
      </c>
      <c r="C326" s="986"/>
      <c r="D326" s="986"/>
      <c r="E326" s="986"/>
      <c r="F326" s="986"/>
      <c r="G326" s="986"/>
      <c r="H326" s="814"/>
      <c r="Q326" s="800" t="s">
        <v>7286</v>
      </c>
      <c r="S326" s="801">
        <f>(7348485/1000)</f>
        <v>7348.4849999999997</v>
      </c>
    </row>
    <row r="327" spans="2:37" ht="99" customHeight="1" x14ac:dyDescent="0.25">
      <c r="B327" s="966" t="s">
        <v>6888</v>
      </c>
      <c r="C327" s="966"/>
      <c r="D327" s="966"/>
      <c r="E327" s="966"/>
      <c r="F327" s="966"/>
      <c r="G327" s="966"/>
      <c r="H327" s="498"/>
    </row>
    <row r="328" spans="2:37" x14ac:dyDescent="0.25">
      <c r="B328" s="977"/>
      <c r="C328" s="977"/>
      <c r="D328" s="977"/>
      <c r="E328" s="977"/>
      <c r="F328" s="977"/>
      <c r="G328" s="977"/>
      <c r="H328" s="497"/>
    </row>
    <row r="329" spans="2:37" x14ac:dyDescent="0.25">
      <c r="Q329" s="511" t="s">
        <v>4513</v>
      </c>
      <c r="R329" s="845"/>
      <c r="S329" s="979" t="str">
        <f>D302</f>
        <v xml:space="preserve"> Dezembro 2025</v>
      </c>
      <c r="T329" s="980"/>
      <c r="U329" s="980"/>
      <c r="V329" s="846"/>
      <c r="W329" s="979" t="str">
        <f>F302</f>
        <v xml:space="preserve"> Dezembro 2024</v>
      </c>
      <c r="X329" s="979"/>
      <c r="Y329" s="981"/>
    </row>
    <row r="330" spans="2:37" x14ac:dyDescent="0.25">
      <c r="Q330" s="554"/>
      <c r="R330" s="380"/>
      <c r="S330" s="379" t="s">
        <v>4510</v>
      </c>
      <c r="T330" s="381"/>
      <c r="U330" s="379" t="s">
        <v>4514</v>
      </c>
      <c r="V330" s="382"/>
      <c r="W330" s="379" t="s">
        <v>4510</v>
      </c>
      <c r="X330" s="381"/>
      <c r="Y330" s="858" t="s">
        <v>4514</v>
      </c>
      <c r="AA330" s="755" t="s">
        <v>7252</v>
      </c>
      <c r="AB330" s="756"/>
      <c r="AC330" s="757" t="s">
        <v>7253</v>
      </c>
    </row>
    <row r="331" spans="2:37" x14ac:dyDescent="0.25">
      <c r="Q331" s="516" t="s">
        <v>6886</v>
      </c>
      <c r="R331" s="380"/>
      <c r="S331" s="376">
        <f>ROUND((3119823/1000),0)</f>
        <v>3120</v>
      </c>
      <c r="T331" s="91"/>
      <c r="U331" s="575">
        <f>ROUND(((28026713.89 +19751549.03+1450270.11)/1000),0)</f>
        <v>49229</v>
      </c>
      <c r="V331" s="378"/>
      <c r="W331" s="376">
        <v>0</v>
      </c>
      <c r="X331" s="91"/>
      <c r="Y331" s="849">
        <v>28355</v>
      </c>
      <c r="AA331" s="758"/>
      <c r="AB331" s="758"/>
      <c r="AC331" s="758"/>
    </row>
    <row r="332" spans="2:37" x14ac:dyDescent="0.25">
      <c r="Q332" s="516" t="s">
        <v>1235</v>
      </c>
      <c r="R332" s="380"/>
      <c r="S332" s="376">
        <v>0</v>
      </c>
      <c r="T332" s="91"/>
      <c r="U332" s="575">
        <f>ROUND((1560162.45/1000),0)</f>
        <v>1560</v>
      </c>
      <c r="V332" s="378"/>
      <c r="W332" s="376">
        <v>0</v>
      </c>
      <c r="X332" s="91"/>
      <c r="Y332" s="849">
        <v>1560</v>
      </c>
      <c r="AA332" s="758"/>
      <c r="AB332" s="758"/>
      <c r="AC332" s="758"/>
    </row>
    <row r="333" spans="2:37" x14ac:dyDescent="0.25">
      <c r="Q333" s="516" t="s">
        <v>6887</v>
      </c>
      <c r="R333" s="380"/>
      <c r="S333" s="376">
        <v>0</v>
      </c>
      <c r="T333" s="91"/>
      <c r="U333" s="575">
        <f>ROUND((1342403.22/1000),0)</f>
        <v>1342</v>
      </c>
      <c r="V333" s="378"/>
      <c r="W333" s="376">
        <v>0</v>
      </c>
      <c r="X333" s="91"/>
      <c r="Y333" s="849">
        <v>1342</v>
      </c>
      <c r="AA333" s="758"/>
      <c r="AB333" s="758"/>
      <c r="AC333" s="758"/>
    </row>
    <row r="334" spans="2:37" x14ac:dyDescent="0.25">
      <c r="Q334" s="516" t="s">
        <v>6885</v>
      </c>
      <c r="R334" s="380"/>
      <c r="S334" s="673">
        <f>ROUND(((52496254.78-3119823)/1000),0)+2289</f>
        <v>51665</v>
      </c>
      <c r="T334" s="91"/>
      <c r="U334" s="575">
        <f>ROUND(((12820917.24+28565692.58)/1000),0)</f>
        <v>41387</v>
      </c>
      <c r="V334" s="378"/>
      <c r="W334" s="376">
        <v>55530</v>
      </c>
      <c r="X334" s="91"/>
      <c r="Y334" s="849">
        <v>41388</v>
      </c>
      <c r="AA334" s="758"/>
      <c r="AB334" s="758"/>
      <c r="AC334" s="758"/>
    </row>
    <row r="335" spans="2:37" x14ac:dyDescent="0.25">
      <c r="I335" s="556">
        <f>AE335</f>
        <v>0</v>
      </c>
      <c r="J335" s="556">
        <f>AG335</f>
        <v>0</v>
      </c>
      <c r="Q335" s="511" t="s">
        <v>4503</v>
      </c>
      <c r="R335" s="852"/>
      <c r="S335" s="566">
        <f>SUM(S331:S334)</f>
        <v>54785</v>
      </c>
      <c r="T335" s="859"/>
      <c r="U335" s="566">
        <f>SUM(U331:U334)</f>
        <v>93518</v>
      </c>
      <c r="V335" s="568"/>
      <c r="W335" s="566">
        <f>SUM(W331:W334)</f>
        <v>55530</v>
      </c>
      <c r="X335" s="859"/>
      <c r="Y335" s="860">
        <f>SUM(Y331:Y334)</f>
        <v>72645</v>
      </c>
      <c r="AA335" s="5"/>
      <c r="AB335" s="5"/>
      <c r="AC335" s="5"/>
      <c r="AD335" s="476" t="e">
        <f>ROUND((#REF!-Y335),0)</f>
        <v>#REF!</v>
      </c>
      <c r="AE335" s="555">
        <f>ROUND(('1. BP (mil)'!H42-S335),0)</f>
        <v>0</v>
      </c>
      <c r="AF335" s="476" t="e">
        <f>ROUND((#REF!-U335),0)</f>
        <v>#REF!</v>
      </c>
      <c r="AG335" s="555">
        <f>ROUND((U335-'1. BP (mil)'!H52),0)</f>
        <v>0</v>
      </c>
      <c r="AI335" s="555">
        <f>ROUND(('1. BP (mil)'!J42-W335),0)</f>
        <v>0</v>
      </c>
      <c r="AK335" s="555">
        <f>ROUND((Y335-'1. BP (mil)'!J52),)</f>
        <v>0</v>
      </c>
    </row>
    <row r="336" spans="2:37" x14ac:dyDescent="0.25">
      <c r="B336" s="977"/>
      <c r="C336" s="977"/>
      <c r="D336" s="977"/>
      <c r="E336" s="977"/>
      <c r="F336" s="977"/>
      <c r="G336" s="977"/>
      <c r="H336" s="497"/>
    </row>
    <row r="337" spans="2:11" x14ac:dyDescent="0.25">
      <c r="B337" s="986" t="e">
        <f>CONCATENATE(#REF!," - PROCESSOS JUDICIAIS E PASSIVOS CONTINGENTES")</f>
        <v>#REF!</v>
      </c>
      <c r="C337" s="986"/>
      <c r="D337" s="986"/>
      <c r="E337" s="986"/>
      <c r="F337" s="986"/>
      <c r="G337" s="986"/>
      <c r="H337" s="814"/>
      <c r="I337" s="70"/>
      <c r="J337" s="70"/>
      <c r="K337" s="70"/>
    </row>
    <row r="338" spans="2:11" x14ac:dyDescent="0.25">
      <c r="B338" s="977"/>
      <c r="C338" s="977"/>
      <c r="D338" s="977"/>
      <c r="E338" s="977"/>
      <c r="F338" s="977"/>
      <c r="G338" s="977"/>
      <c r="H338" s="497"/>
      <c r="I338" s="70"/>
      <c r="J338" s="70"/>
      <c r="K338" s="70"/>
    </row>
    <row r="339" spans="2:11" x14ac:dyDescent="0.25">
      <c r="B339" s="985" t="e">
        <f>CONCATENATE(#REF!,".1 - PROCESSOS PROVISIONADOS")</f>
        <v>#REF!</v>
      </c>
      <c r="C339" s="985"/>
      <c r="D339" s="985"/>
      <c r="E339" s="985"/>
      <c r="F339" s="985"/>
      <c r="G339" s="985"/>
      <c r="H339" s="811"/>
      <c r="I339" s="72"/>
      <c r="J339" s="72"/>
      <c r="K339" s="72"/>
    </row>
    <row r="340" spans="2:11" ht="175.5" customHeight="1" x14ac:dyDescent="0.25">
      <c r="B340" s="964" t="s">
        <v>7296</v>
      </c>
      <c r="C340" s="964"/>
      <c r="D340" s="964"/>
      <c r="E340" s="964"/>
      <c r="F340" s="964"/>
      <c r="G340" s="964"/>
      <c r="H340" s="763"/>
      <c r="I340" s="70"/>
      <c r="J340" s="70"/>
      <c r="K340" s="70"/>
    </row>
    <row r="341" spans="2:11" x14ac:dyDescent="0.25">
      <c r="B341" s="977"/>
      <c r="C341" s="977"/>
      <c r="D341" s="977"/>
      <c r="E341" s="977"/>
      <c r="F341" s="977"/>
      <c r="G341" s="977"/>
      <c r="H341" s="497"/>
      <c r="I341" s="70"/>
      <c r="J341" s="70"/>
      <c r="K341" s="70"/>
    </row>
    <row r="342" spans="2:11" x14ac:dyDescent="0.25">
      <c r="B342" s="511" t="s">
        <v>6893</v>
      </c>
      <c r="C342" s="529"/>
      <c r="D342" s="530" t="str">
        <f>D302</f>
        <v xml:space="preserve"> Dezembro 2025</v>
      </c>
      <c r="E342" s="533"/>
      <c r="F342" s="530" t="str">
        <f>F302</f>
        <v xml:space="preserve"> Dezembro 2024</v>
      </c>
      <c r="G342" s="503"/>
      <c r="H342" s="70"/>
      <c r="I342" s="70"/>
      <c r="J342" s="70"/>
      <c r="K342" s="70"/>
    </row>
    <row r="343" spans="2:11" x14ac:dyDescent="0.25">
      <c r="B343" s="516" t="s">
        <v>6894</v>
      </c>
      <c r="C343" s="372"/>
      <c r="D343" s="376" t="e">
        <f>ROUND(#REF!/1000,0)</f>
        <v>#REF!</v>
      </c>
      <c r="E343" s="92"/>
      <c r="F343" s="376">
        <v>19932</v>
      </c>
      <c r="G343" s="505"/>
      <c r="H343" s="70"/>
      <c r="I343" s="70"/>
      <c r="J343" s="70"/>
      <c r="K343" s="70"/>
    </row>
    <row r="344" spans="2:11" x14ac:dyDescent="0.25">
      <c r="B344" s="516" t="s">
        <v>6895</v>
      </c>
      <c r="C344" s="372"/>
      <c r="D344" s="376" t="e">
        <f>ROUND(#REF!/1000,0)</f>
        <v>#REF!</v>
      </c>
      <c r="E344" s="92"/>
      <c r="F344" s="376">
        <v>2903</v>
      </c>
      <c r="G344" s="505"/>
      <c r="H344" s="70"/>
      <c r="I344" s="729"/>
      <c r="K344" s="479"/>
    </row>
    <row r="345" spans="2:11" x14ac:dyDescent="0.25">
      <c r="B345" s="511" t="s">
        <v>4503</v>
      </c>
      <c r="C345" s="535"/>
      <c r="D345" s="566" t="e">
        <f>SUM(D343:D344)</f>
        <v>#REF!</v>
      </c>
      <c r="E345" s="568"/>
      <c r="F345" s="569">
        <f>SUM(F343:F344)</f>
        <v>22835</v>
      </c>
      <c r="G345" s="508"/>
      <c r="H345" s="70"/>
      <c r="I345" s="556" t="e">
        <f>ROUND(('1. BP (mil)'!H53-D345),0)</f>
        <v>#REF!</v>
      </c>
      <c r="J345" s="556">
        <f>ROUND(('1. BP (mil)'!J53-F345),0)</f>
        <v>0</v>
      </c>
      <c r="K345" s="70"/>
    </row>
    <row r="346" spans="2:11" x14ac:dyDescent="0.25">
      <c r="B346" s="977"/>
      <c r="C346" s="977"/>
      <c r="D346" s="977"/>
      <c r="E346" s="977"/>
      <c r="F346" s="977"/>
      <c r="G346" s="70"/>
      <c r="H346" s="70"/>
      <c r="I346" s="557"/>
      <c r="J346" s="557"/>
      <c r="K346" s="70"/>
    </row>
    <row r="347" spans="2:11" ht="55.5" customHeight="1" x14ac:dyDescent="0.25">
      <c r="B347" s="966" t="s">
        <v>7191</v>
      </c>
      <c r="C347" s="966"/>
      <c r="D347" s="966"/>
      <c r="E347" s="966"/>
      <c r="F347" s="966"/>
      <c r="G347" s="70"/>
      <c r="H347" s="70"/>
      <c r="I347" s="557"/>
      <c r="J347" s="557"/>
      <c r="K347" s="70"/>
    </row>
    <row r="348" spans="2:11" x14ac:dyDescent="0.25">
      <c r="B348" s="497"/>
      <c r="C348" s="497"/>
      <c r="D348" s="497"/>
      <c r="E348" s="497"/>
      <c r="F348" s="497"/>
      <c r="G348" s="70"/>
      <c r="H348" s="70"/>
      <c r="I348" s="557"/>
      <c r="J348" s="557"/>
      <c r="K348" s="70"/>
    </row>
    <row r="349" spans="2:11" x14ac:dyDescent="0.25">
      <c r="B349" s="985" t="e">
        <f>CONCATENATE(#REF!,".2 - PASSIVOS CONTINGENTES")</f>
        <v>#REF!</v>
      </c>
      <c r="C349" s="985"/>
      <c r="D349" s="985"/>
      <c r="E349" s="985"/>
      <c r="F349" s="985"/>
      <c r="G349" s="70"/>
      <c r="H349" s="70"/>
      <c r="I349" s="557"/>
      <c r="J349" s="557"/>
      <c r="K349" s="70"/>
    </row>
    <row r="350" spans="2:11" ht="35.25" customHeight="1" x14ac:dyDescent="0.25">
      <c r="B350" s="990" t="s">
        <v>7297</v>
      </c>
      <c r="C350" s="990"/>
      <c r="D350" s="990"/>
      <c r="E350" s="990"/>
      <c r="F350" s="990"/>
      <c r="G350" s="70"/>
      <c r="H350" s="70"/>
      <c r="I350" s="557"/>
      <c r="J350" s="557"/>
      <c r="K350" s="70"/>
    </row>
    <row r="351" spans="2:11" x14ac:dyDescent="0.25">
      <c r="B351" s="977"/>
      <c r="C351" s="977"/>
      <c r="D351" s="977"/>
      <c r="E351" s="977"/>
      <c r="F351" s="977"/>
      <c r="G351" s="70"/>
      <c r="H351" s="70"/>
      <c r="I351" s="557"/>
      <c r="J351" s="557"/>
      <c r="K351" s="70"/>
    </row>
    <row r="352" spans="2:11" x14ac:dyDescent="0.25">
      <c r="B352" s="511" t="s">
        <v>6896</v>
      </c>
      <c r="C352" s="529"/>
      <c r="D352" s="530" t="str">
        <f>D342</f>
        <v xml:space="preserve"> Dezembro 2025</v>
      </c>
      <c r="E352" s="734"/>
      <c r="F352" s="530" t="str">
        <f>F342</f>
        <v xml:space="preserve"> Dezembro 2024</v>
      </c>
      <c r="G352" s="503"/>
      <c r="H352" s="70"/>
      <c r="I352" s="557"/>
      <c r="J352" s="557"/>
      <c r="K352" s="70"/>
    </row>
    <row r="353" spans="2:11" x14ac:dyDescent="0.25">
      <c r="B353" s="735" t="s">
        <v>7308</v>
      </c>
      <c r="C353" s="736"/>
      <c r="D353" s="670">
        <v>17644</v>
      </c>
      <c r="E353" s="672"/>
      <c r="F353" s="673">
        <v>42265</v>
      </c>
      <c r="G353" s="505"/>
      <c r="H353" s="70"/>
      <c r="I353" s="557"/>
      <c r="J353" s="557"/>
      <c r="K353" s="70"/>
    </row>
    <row r="354" spans="2:11" x14ac:dyDescent="0.25">
      <c r="B354" s="735" t="s">
        <v>6894</v>
      </c>
      <c r="C354" s="736"/>
      <c r="D354" s="670">
        <v>2871</v>
      </c>
      <c r="E354" s="672"/>
      <c r="F354" s="673">
        <v>2855</v>
      </c>
      <c r="G354" s="505"/>
      <c r="H354" s="70"/>
      <c r="I354" s="557"/>
      <c r="J354" s="557"/>
      <c r="K354" s="70"/>
    </row>
    <row r="355" spans="2:11" x14ac:dyDescent="0.25">
      <c r="B355" s="511" t="s">
        <v>4503</v>
      </c>
      <c r="C355" s="737"/>
      <c r="D355" s="566">
        <f>SUM(D353:D354)</f>
        <v>20515</v>
      </c>
      <c r="E355" s="738"/>
      <c r="F355" s="739">
        <f>SUM(F353:F354)</f>
        <v>45120</v>
      </c>
      <c r="G355" s="508"/>
      <c r="H355" s="70"/>
      <c r="I355" s="557"/>
      <c r="J355" s="557"/>
      <c r="K355" s="70"/>
    </row>
    <row r="356" spans="2:11" x14ac:dyDescent="0.25">
      <c r="B356" s="977"/>
      <c r="C356" s="977"/>
      <c r="D356" s="977"/>
      <c r="E356" s="977"/>
      <c r="F356" s="977"/>
      <c r="G356" s="977"/>
      <c r="H356" s="497"/>
      <c r="I356" s="557"/>
      <c r="J356" s="557"/>
      <c r="K356" s="70"/>
    </row>
    <row r="357" spans="2:11" x14ac:dyDescent="0.25">
      <c r="B357" s="986" t="e">
        <f>CONCATENATE(#REF!," - PATRIMÔNIO LÍQUIDO")</f>
        <v>#REF!</v>
      </c>
      <c r="C357" s="986"/>
      <c r="D357" s="986"/>
      <c r="E357" s="986"/>
      <c r="F357" s="986"/>
      <c r="G357" s="986"/>
      <c r="H357" s="814"/>
      <c r="I357" s="557"/>
      <c r="J357" s="557"/>
      <c r="K357" s="70"/>
    </row>
    <row r="358" spans="2:11" x14ac:dyDescent="0.25">
      <c r="B358" s="977"/>
      <c r="C358" s="977"/>
      <c r="D358" s="977"/>
      <c r="E358" s="977"/>
      <c r="F358" s="977"/>
      <c r="G358" s="977"/>
      <c r="H358" s="497"/>
      <c r="I358" s="557"/>
      <c r="J358" s="557"/>
      <c r="K358" s="70"/>
    </row>
    <row r="359" spans="2:11" x14ac:dyDescent="0.25">
      <c r="B359" s="511" t="s">
        <v>4406</v>
      </c>
      <c r="C359" s="537"/>
      <c r="D359" s="365" t="str">
        <f>D352</f>
        <v xml:space="preserve"> Dezembro 2025</v>
      </c>
      <c r="E359" s="518"/>
      <c r="F359" s="365" t="str">
        <f>F352</f>
        <v xml:space="preserve"> Dezembro 2024</v>
      </c>
      <c r="G359" s="503"/>
      <c r="H359" s="70"/>
      <c r="I359" s="557"/>
      <c r="J359" s="557"/>
      <c r="K359" s="70"/>
    </row>
    <row r="360" spans="2:11" x14ac:dyDescent="0.25">
      <c r="B360" s="523" t="s">
        <v>4407</v>
      </c>
      <c r="C360" s="388"/>
      <c r="D360" s="390">
        <f>'1. BP (mil)'!H57</f>
        <v>63114</v>
      </c>
      <c r="E360" s="387"/>
      <c r="F360" s="390">
        <v>63114</v>
      </c>
      <c r="G360" s="505"/>
      <c r="H360" s="70"/>
      <c r="I360" s="556">
        <f>D360-'1. BP (mil)'!H57</f>
        <v>0</v>
      </c>
      <c r="J360" s="556">
        <f>F360-'1. BP (mil)'!J57</f>
        <v>0</v>
      </c>
      <c r="K360" s="70"/>
    </row>
    <row r="361" spans="2:11" hidden="1" x14ac:dyDescent="0.25">
      <c r="B361" s="538" t="s">
        <v>4611</v>
      </c>
      <c r="C361" s="388"/>
      <c r="D361" s="390"/>
      <c r="E361" s="392"/>
      <c r="F361" s="390">
        <v>0</v>
      </c>
      <c r="G361" s="505"/>
      <c r="H361" s="70"/>
      <c r="I361" s="557"/>
      <c r="J361" s="557" t="e">
        <f>F361-#REF!</f>
        <v>#REF!</v>
      </c>
      <c r="K361" s="70"/>
    </row>
    <row r="362" spans="2:11" x14ac:dyDescent="0.25">
      <c r="B362" s="538" t="s">
        <v>6899</v>
      </c>
      <c r="C362" s="388"/>
      <c r="D362" s="803">
        <f>'1. BP (mil)'!H58-1</f>
        <v>15683</v>
      </c>
      <c r="E362" s="387"/>
      <c r="F362" s="390">
        <v>18540</v>
      </c>
      <c r="G362" s="505"/>
      <c r="H362" s="70"/>
      <c r="I362" s="556">
        <f>'1. BP (mil)'!H58-D362</f>
        <v>1</v>
      </c>
      <c r="J362" s="556">
        <f>F362-'1. BP (mil)'!J58</f>
        <v>0</v>
      </c>
      <c r="K362" s="70"/>
    </row>
    <row r="363" spans="2:11" x14ac:dyDescent="0.25">
      <c r="B363" s="538" t="s">
        <v>6900</v>
      </c>
      <c r="C363" s="388"/>
      <c r="D363" s="390">
        <f>'1. BP (mil)'!H59</f>
        <v>976</v>
      </c>
      <c r="E363" s="70"/>
      <c r="F363" s="390">
        <v>976</v>
      </c>
      <c r="G363" s="505"/>
      <c r="H363" s="70"/>
      <c r="I363" s="556">
        <f>'1. BP (mil)'!H59-D363</f>
        <v>0</v>
      </c>
      <c r="J363" s="556">
        <f>F363-'1. BP (mil)'!J59</f>
        <v>0</v>
      </c>
      <c r="K363" s="70"/>
    </row>
    <row r="364" spans="2:11" x14ac:dyDescent="0.25">
      <c r="B364" s="538" t="s">
        <v>2807</v>
      </c>
      <c r="C364" s="74"/>
      <c r="D364" s="390">
        <f>'1. BP (mil)'!H60</f>
        <v>13274</v>
      </c>
      <c r="E364" s="74"/>
      <c r="F364" s="390">
        <v>14505</v>
      </c>
      <c r="G364" s="505"/>
      <c r="H364" s="70"/>
      <c r="I364" s="556">
        <f>'1. BP (mil)'!H60-D364</f>
        <v>0</v>
      </c>
      <c r="J364" s="556">
        <f>F364-'1. BP (mil)'!J60</f>
        <v>0</v>
      </c>
      <c r="K364" s="70"/>
    </row>
    <row r="365" spans="2:11" x14ac:dyDescent="0.25">
      <c r="B365" s="538" t="s">
        <v>2803</v>
      </c>
      <c r="C365" s="74"/>
      <c r="D365" s="390">
        <f>'1. BP (mil)'!H61</f>
        <v>159864</v>
      </c>
      <c r="E365" s="74"/>
      <c r="F365" s="390">
        <v>159864</v>
      </c>
      <c r="G365" s="505"/>
      <c r="H365" s="70"/>
      <c r="I365" s="556">
        <f>'1. BP (mil)'!H61-D365</f>
        <v>0</v>
      </c>
      <c r="J365" s="556">
        <f>F365-'1. BP (mil)'!J61</f>
        <v>0</v>
      </c>
      <c r="K365" s="70"/>
    </row>
    <row r="366" spans="2:11" x14ac:dyDescent="0.25">
      <c r="B366" s="504" t="s">
        <v>6901</v>
      </c>
      <c r="C366" s="388"/>
      <c r="D366" s="751">
        <f>'1. BP (mil)'!H62</f>
        <v>0</v>
      </c>
      <c r="E366" s="387"/>
      <c r="F366" s="93">
        <v>0</v>
      </c>
      <c r="G366" s="505"/>
      <c r="H366" s="70"/>
      <c r="I366" s="556">
        <f>'1. BP (mil)'!H62-D366</f>
        <v>0</v>
      </c>
      <c r="J366" s="556">
        <f>F366-'1. BP (mil)'!J62</f>
        <v>0</v>
      </c>
      <c r="K366" s="70"/>
    </row>
    <row r="367" spans="2:11" x14ac:dyDescent="0.25">
      <c r="B367" s="511" t="s">
        <v>4503</v>
      </c>
      <c r="C367" s="535"/>
      <c r="D367" s="539">
        <f>SUM(D360:D366)</f>
        <v>252911</v>
      </c>
      <c r="E367" s="532"/>
      <c r="F367" s="539">
        <f>SUM(F360:F366)</f>
        <v>256999</v>
      </c>
      <c r="G367" s="508"/>
      <c r="H367" s="70"/>
      <c r="I367" s="556">
        <f>ROUND(('1. BP (mil)'!H55-D367),0)</f>
        <v>1</v>
      </c>
      <c r="J367" s="556">
        <f>ROUND(('1. BP (mil)'!J55-F367),0)</f>
        <v>0</v>
      </c>
      <c r="K367" s="70"/>
    </row>
    <row r="368" spans="2:11" x14ac:dyDescent="0.25">
      <c r="B368" s="977"/>
      <c r="C368" s="977"/>
      <c r="D368" s="977"/>
      <c r="E368" s="977"/>
      <c r="F368" s="977"/>
      <c r="G368" s="977"/>
      <c r="H368" s="497"/>
      <c r="I368" s="557"/>
      <c r="J368" s="557"/>
      <c r="K368" s="70"/>
    </row>
    <row r="369" spans="2:49" x14ac:dyDescent="0.25">
      <c r="B369" s="986" t="e">
        <f>CONCATENATE(#REF!," - CAPITAL SOCIAL")</f>
        <v>#REF!</v>
      </c>
      <c r="C369" s="986"/>
      <c r="D369" s="986"/>
      <c r="E369" s="986"/>
      <c r="F369" s="986"/>
      <c r="G369" s="986"/>
      <c r="H369" s="814"/>
      <c r="I369" s="557"/>
      <c r="J369" s="557"/>
      <c r="K369" s="70"/>
    </row>
    <row r="370" spans="2:49" ht="34.5" customHeight="1" x14ac:dyDescent="0.25">
      <c r="B370" s="966" t="s">
        <v>7192</v>
      </c>
      <c r="C370" s="966"/>
      <c r="D370" s="966"/>
      <c r="E370" s="966"/>
      <c r="F370" s="966"/>
      <c r="G370" s="966"/>
      <c r="H370" s="498"/>
      <c r="I370" s="557"/>
      <c r="J370" s="557"/>
      <c r="K370" s="70"/>
    </row>
    <row r="371" spans="2:49" x14ac:dyDescent="0.25">
      <c r="B371" s="977"/>
      <c r="C371" s="977"/>
      <c r="D371" s="977"/>
      <c r="E371" s="977"/>
      <c r="F371" s="977"/>
      <c r="G371" s="977"/>
      <c r="H371" s="497"/>
      <c r="I371" s="557"/>
      <c r="J371" s="557"/>
      <c r="K371" s="70"/>
    </row>
    <row r="372" spans="2:49" ht="112.5" customHeight="1" x14ac:dyDescent="0.25">
      <c r="B372" s="966" t="s">
        <v>7193</v>
      </c>
      <c r="C372" s="966"/>
      <c r="D372" s="966"/>
      <c r="E372" s="966"/>
      <c r="F372" s="966"/>
      <c r="G372" s="966"/>
      <c r="H372" s="498"/>
      <c r="I372" s="557"/>
      <c r="J372" s="557"/>
      <c r="K372" s="70"/>
    </row>
    <row r="373" spans="2:49" x14ac:dyDescent="0.25">
      <c r="B373" s="977"/>
      <c r="C373" s="977"/>
      <c r="D373" s="977"/>
      <c r="E373" s="977"/>
      <c r="F373" s="977"/>
      <c r="G373" s="977"/>
      <c r="H373" s="497"/>
      <c r="I373" s="557"/>
      <c r="J373" s="557"/>
      <c r="K373" s="70"/>
    </row>
    <row r="374" spans="2:49" ht="31.5" x14ac:dyDescent="0.25">
      <c r="B374" s="977"/>
      <c r="C374" s="977"/>
      <c r="D374" s="977"/>
      <c r="E374" s="977"/>
      <c r="F374" s="977"/>
      <c r="G374" s="977"/>
      <c r="H374" s="497"/>
      <c r="I374" s="557"/>
      <c r="J374" s="557"/>
      <c r="K374" s="70"/>
      <c r="Q374" s="82"/>
      <c r="AM374" s="397" t="s">
        <v>7211</v>
      </c>
      <c r="AN374" s="396"/>
      <c r="AO374" s="398" t="s">
        <v>6922</v>
      </c>
      <c r="AP374" s="396"/>
      <c r="AQ374" s="398" t="s">
        <v>6923</v>
      </c>
      <c r="AR374" s="396"/>
      <c r="AS374" s="398" t="s">
        <v>6924</v>
      </c>
      <c r="AT374" s="396"/>
      <c r="AU374" s="398" t="s">
        <v>6925</v>
      </c>
      <c r="AV374" s="396"/>
      <c r="AW374" s="398" t="s">
        <v>6926</v>
      </c>
    </row>
    <row r="375" spans="2:49" x14ac:dyDescent="0.25">
      <c r="B375" s="977"/>
      <c r="C375" s="977"/>
      <c r="D375" s="977"/>
      <c r="E375" s="977"/>
      <c r="F375" s="977"/>
      <c r="G375" s="977"/>
      <c r="H375" s="497"/>
      <c r="I375" s="558"/>
      <c r="J375" s="558"/>
      <c r="K375" s="360"/>
      <c r="AM375" s="395" t="s">
        <v>4359</v>
      </c>
      <c r="AN375" s="395"/>
      <c r="AO375" s="399">
        <v>464</v>
      </c>
      <c r="AP375" s="399"/>
      <c r="AQ375" s="399">
        <v>-13</v>
      </c>
      <c r="AR375" s="399"/>
      <c r="AS375" s="399">
        <v>-23</v>
      </c>
      <c r="AT375" s="399"/>
      <c r="AU375" s="399">
        <v>-23</v>
      </c>
      <c r="AV375" s="399"/>
      <c r="AW375" s="399">
        <f>SUM(AO375:AU375)</f>
        <v>405</v>
      </c>
    </row>
    <row r="376" spans="2:49" x14ac:dyDescent="0.25">
      <c r="B376" s="977"/>
      <c r="C376" s="977"/>
      <c r="D376" s="977"/>
      <c r="E376" s="977"/>
      <c r="F376" s="977"/>
      <c r="G376" s="977"/>
      <c r="H376" s="497"/>
      <c r="I376" s="557"/>
      <c r="J376" s="557"/>
      <c r="K376" s="70"/>
      <c r="AM376" s="395" t="s">
        <v>6927</v>
      </c>
      <c r="AN376" s="395"/>
      <c r="AO376" s="399">
        <v>483</v>
      </c>
      <c r="AP376" s="399"/>
      <c r="AQ376" s="399">
        <v>-48</v>
      </c>
      <c r="AR376" s="399"/>
      <c r="AS376" s="399">
        <v>-97</v>
      </c>
      <c r="AT376" s="399"/>
      <c r="AU376" s="399">
        <v>-97</v>
      </c>
      <c r="AV376" s="399"/>
      <c r="AW376" s="399">
        <f>SUM(AO376:AU376)</f>
        <v>241</v>
      </c>
    </row>
    <row r="377" spans="2:49" x14ac:dyDescent="0.25">
      <c r="B377" s="977"/>
      <c r="C377" s="977"/>
      <c r="D377" s="977"/>
      <c r="E377" s="977"/>
      <c r="F377" s="977"/>
      <c r="G377" s="977"/>
      <c r="H377" s="497"/>
      <c r="I377" s="557"/>
      <c r="J377" s="557"/>
      <c r="K377" s="70"/>
      <c r="AM377" s="395" t="s">
        <v>6919</v>
      </c>
      <c r="AN377" s="395"/>
      <c r="AO377" s="399">
        <v>495</v>
      </c>
      <c r="AP377" s="399"/>
      <c r="AQ377" s="399">
        <v>-13</v>
      </c>
      <c r="AR377" s="399"/>
      <c r="AS377" s="399">
        <v>-30</v>
      </c>
      <c r="AT377" s="399"/>
      <c r="AU377" s="399">
        <v>-30</v>
      </c>
      <c r="AV377" s="399"/>
      <c r="AW377" s="399">
        <f>SUM(AO377:AU377)</f>
        <v>422</v>
      </c>
    </row>
    <row r="378" spans="2:49" x14ac:dyDescent="0.25">
      <c r="B378" s="977"/>
      <c r="C378" s="977"/>
      <c r="D378" s="977"/>
      <c r="E378" s="977"/>
      <c r="F378" s="977"/>
      <c r="G378" s="977"/>
      <c r="H378" s="497"/>
      <c r="I378" s="557"/>
      <c r="J378" s="557"/>
      <c r="K378" s="70"/>
      <c r="AM378" s="395" t="s">
        <v>6920</v>
      </c>
      <c r="AN378" s="395"/>
      <c r="AO378" s="399">
        <v>394</v>
      </c>
      <c r="AP378" s="399"/>
      <c r="AQ378" s="399">
        <v>-16</v>
      </c>
      <c r="AR378" s="399"/>
      <c r="AS378" s="399">
        <v>-26</v>
      </c>
      <c r="AT378" s="399"/>
      <c r="AU378" s="399">
        <v>-26</v>
      </c>
      <c r="AV378" s="399"/>
      <c r="AW378" s="399">
        <f>SUM(AO378:AU378)</f>
        <v>326</v>
      </c>
    </row>
    <row r="379" spans="2:49" x14ac:dyDescent="0.25">
      <c r="B379" s="977"/>
      <c r="C379" s="977"/>
      <c r="D379" s="977"/>
      <c r="E379" s="977"/>
      <c r="F379" s="977"/>
      <c r="G379" s="977"/>
      <c r="H379" s="497"/>
      <c r="I379" s="557"/>
      <c r="J379" s="557"/>
      <c r="K379" s="70"/>
      <c r="AM379" s="400" t="s">
        <v>6921</v>
      </c>
      <c r="AN379" s="395"/>
      <c r="AO379" s="401">
        <v>68</v>
      </c>
      <c r="AP379" s="399"/>
      <c r="AQ379" s="401">
        <v>-3</v>
      </c>
      <c r="AR379" s="399"/>
      <c r="AS379" s="401">
        <v>-7</v>
      </c>
      <c r="AT379" s="399"/>
      <c r="AU379" s="401">
        <v>-7</v>
      </c>
      <c r="AV379" s="399"/>
      <c r="AW379" s="401">
        <f>SUM(AO379:AU379)</f>
        <v>51</v>
      </c>
    </row>
    <row r="380" spans="2:49" x14ac:dyDescent="0.25">
      <c r="B380" s="977"/>
      <c r="C380" s="977"/>
      <c r="D380" s="977"/>
      <c r="E380" s="977"/>
      <c r="F380" s="977"/>
      <c r="G380" s="977"/>
      <c r="H380" s="497"/>
      <c r="I380" s="557"/>
      <c r="J380" s="557"/>
      <c r="K380" s="70"/>
      <c r="AM380" s="396" t="s">
        <v>4503</v>
      </c>
      <c r="AN380" s="395"/>
      <c r="AO380" s="399">
        <f>SUM(AO375:AO379)</f>
        <v>1904</v>
      </c>
      <c r="AP380" s="399"/>
      <c r="AQ380" s="399">
        <f>SUM(AQ375:AQ379)</f>
        <v>-93</v>
      </c>
      <c r="AR380" s="399"/>
      <c r="AS380" s="399">
        <f>SUM(AS375:AS379)</f>
        <v>-183</v>
      </c>
      <c r="AT380" s="399"/>
      <c r="AU380" s="399">
        <f>SUM(AU375:AU379)</f>
        <v>-183</v>
      </c>
      <c r="AV380" s="399"/>
      <c r="AW380" s="399">
        <f>SUM(AW375:AW379)</f>
        <v>1445</v>
      </c>
    </row>
    <row r="381" spans="2:49" ht="20.25" customHeight="1" x14ac:dyDescent="0.25">
      <c r="B381" s="977"/>
      <c r="C381" s="977"/>
      <c r="D381" s="977"/>
      <c r="E381" s="977"/>
      <c r="F381" s="977"/>
      <c r="G381" s="977"/>
      <c r="H381" s="497"/>
      <c r="I381" s="557"/>
      <c r="J381" s="557"/>
      <c r="K381" s="70"/>
    </row>
    <row r="382" spans="2:49" x14ac:dyDescent="0.25">
      <c r="B382" s="497"/>
      <c r="C382" s="497"/>
      <c r="D382" s="497"/>
      <c r="E382" s="497"/>
      <c r="F382" s="497"/>
      <c r="G382" s="497"/>
      <c r="H382" s="497"/>
      <c r="I382" s="557"/>
      <c r="J382" s="557"/>
      <c r="K382" s="70"/>
    </row>
    <row r="383" spans="2:49" x14ac:dyDescent="0.25">
      <c r="B383" s="991" t="e">
        <f>CONCATENATE(#REF!,".2 - RESERVAS DE LUCROS")</f>
        <v>#REF!</v>
      </c>
      <c r="C383" s="991"/>
      <c r="D383" s="991"/>
      <c r="E383" s="991"/>
      <c r="F383" s="991"/>
      <c r="G383" s="991"/>
      <c r="H383" s="816"/>
      <c r="I383" s="557"/>
      <c r="J383" s="557"/>
      <c r="K383" s="70"/>
    </row>
    <row r="384" spans="2:49" ht="54.75" customHeight="1" x14ac:dyDescent="0.25">
      <c r="B384" s="966" t="s">
        <v>7194</v>
      </c>
      <c r="C384" s="966"/>
      <c r="D384" s="966"/>
      <c r="E384" s="966"/>
      <c r="F384" s="966"/>
      <c r="G384" s="966"/>
      <c r="H384" s="498"/>
      <c r="I384" s="557"/>
      <c r="J384" s="557"/>
      <c r="K384" s="70"/>
    </row>
    <row r="385" spans="2:11" x14ac:dyDescent="0.25">
      <c r="B385" s="511" t="s">
        <v>6893</v>
      </c>
      <c r="C385" s="529"/>
      <c r="D385" s="530" t="str">
        <f>D342</f>
        <v xml:space="preserve"> Dezembro 2025</v>
      </c>
      <c r="E385" s="533"/>
      <c r="F385" s="530" t="str">
        <f>F342</f>
        <v xml:space="preserve"> Dezembro 2024</v>
      </c>
      <c r="G385" s="503"/>
      <c r="H385" s="70"/>
      <c r="I385" s="70"/>
      <c r="J385" s="70"/>
      <c r="K385" s="70"/>
    </row>
    <row r="386" spans="2:11" x14ac:dyDescent="0.25">
      <c r="B386" s="516" t="s">
        <v>6899</v>
      </c>
      <c r="C386" s="372"/>
      <c r="D386" s="673">
        <f>'1. BP (mil)'!H58-1</f>
        <v>15683</v>
      </c>
      <c r="E386" s="92"/>
      <c r="F386" s="376">
        <v>18540</v>
      </c>
      <c r="G386" s="505"/>
      <c r="H386" s="70"/>
      <c r="I386" s="70"/>
      <c r="J386" s="70"/>
      <c r="K386" s="70"/>
    </row>
    <row r="387" spans="2:11" x14ac:dyDescent="0.25">
      <c r="B387" s="516" t="s">
        <v>6900</v>
      </c>
      <c r="C387" s="372"/>
      <c r="D387" s="376">
        <f>'1. BP (mil)'!H59</f>
        <v>976</v>
      </c>
      <c r="E387" s="92"/>
      <c r="F387" s="376">
        <v>976</v>
      </c>
      <c r="G387" s="505"/>
      <c r="H387" s="70"/>
      <c r="I387" s="70"/>
      <c r="K387" s="479"/>
    </row>
    <row r="388" spans="2:11" x14ac:dyDescent="0.25">
      <c r="B388" s="511" t="s">
        <v>4503</v>
      </c>
      <c r="C388" s="535"/>
      <c r="D388" s="566">
        <f>SUM(D386:D387)</f>
        <v>16659</v>
      </c>
      <c r="E388" s="568"/>
      <c r="F388" s="569">
        <f>SUM(F386:F387)</f>
        <v>19516</v>
      </c>
      <c r="G388" s="508"/>
      <c r="H388" s="70"/>
      <c r="I388" s="556">
        <f>D388-('1. BP (mil)'!H58+'1. BP (mil)'!H59)</f>
        <v>-1</v>
      </c>
      <c r="J388" s="556">
        <f>F388-('1. BP (mil)'!J58+'1. BP (mil)'!J59)</f>
        <v>0</v>
      </c>
      <c r="K388" s="70"/>
    </row>
    <row r="389" spans="2:11" x14ac:dyDescent="0.25">
      <c r="B389" s="977"/>
      <c r="C389" s="977"/>
      <c r="D389" s="977"/>
      <c r="E389" s="977"/>
      <c r="F389" s="977"/>
      <c r="G389" s="70"/>
      <c r="H389" s="70"/>
      <c r="I389" s="557"/>
      <c r="J389" s="557"/>
      <c r="K389" s="70"/>
    </row>
    <row r="390" spans="2:11" x14ac:dyDescent="0.25">
      <c r="B390" s="992"/>
      <c r="C390" s="992"/>
      <c r="D390" s="992"/>
      <c r="E390" s="992"/>
      <c r="F390" s="992"/>
      <c r="G390" s="992"/>
      <c r="H390" s="764"/>
      <c r="I390" s="557"/>
      <c r="J390" s="557"/>
      <c r="K390" s="70"/>
    </row>
    <row r="391" spans="2:11" x14ac:dyDescent="0.25">
      <c r="B391" s="764"/>
      <c r="C391" s="764"/>
      <c r="D391" s="764"/>
      <c r="E391" s="764"/>
      <c r="F391" s="764"/>
      <c r="G391" s="764"/>
      <c r="H391" s="764"/>
      <c r="I391" s="557"/>
      <c r="J391" s="557"/>
      <c r="K391" s="70"/>
    </row>
    <row r="392" spans="2:11" x14ac:dyDescent="0.25">
      <c r="B392" s="986" t="e">
        <f>CONCATENATE(#REF!," - RESERVA PARA INCENTIVOS FISCAIS")</f>
        <v>#REF!</v>
      </c>
      <c r="C392" s="986"/>
      <c r="D392" s="986"/>
      <c r="E392" s="986"/>
      <c r="F392" s="986"/>
      <c r="G392" s="986"/>
      <c r="H392" s="814"/>
      <c r="I392" s="557"/>
      <c r="J392" s="557"/>
      <c r="K392" s="70"/>
    </row>
    <row r="393" spans="2:11" ht="111.75" customHeight="1" x14ac:dyDescent="0.25">
      <c r="B393" s="966" t="s">
        <v>7195</v>
      </c>
      <c r="C393" s="966"/>
      <c r="D393" s="966"/>
      <c r="E393" s="966"/>
      <c r="F393" s="966"/>
      <c r="G393" s="966"/>
      <c r="H393" s="498"/>
      <c r="I393" s="557"/>
      <c r="J393" s="557"/>
      <c r="K393" s="70"/>
    </row>
    <row r="394" spans="2:11" x14ac:dyDescent="0.25">
      <c r="B394" s="977"/>
      <c r="C394" s="977"/>
      <c r="D394" s="977"/>
      <c r="E394" s="977"/>
      <c r="F394" s="977"/>
      <c r="G394" s="977"/>
      <c r="H394" s="497"/>
      <c r="I394" s="557"/>
      <c r="J394" s="557"/>
      <c r="K394" s="70"/>
    </row>
    <row r="395" spans="2:11" x14ac:dyDescent="0.25">
      <c r="B395" s="986" t="e">
        <f>CONCATENATE(#REF!," - RESERVA LEGAL")</f>
        <v>#REF!</v>
      </c>
      <c r="C395" s="986"/>
      <c r="D395" s="986"/>
      <c r="E395" s="986"/>
      <c r="F395" s="986"/>
      <c r="G395" s="986"/>
      <c r="H395" s="814"/>
      <c r="I395" s="557"/>
      <c r="J395" s="557"/>
      <c r="K395" s="70"/>
    </row>
    <row r="396" spans="2:11" ht="55.5" customHeight="1" x14ac:dyDescent="0.25">
      <c r="B396" s="966" t="s">
        <v>7196</v>
      </c>
      <c r="C396" s="966"/>
      <c r="D396" s="966"/>
      <c r="E396" s="966"/>
      <c r="F396" s="966"/>
      <c r="G396" s="966"/>
      <c r="H396" s="498"/>
      <c r="I396" s="557"/>
      <c r="J396" s="557"/>
      <c r="K396" s="70"/>
    </row>
    <row r="397" spans="2:11" x14ac:dyDescent="0.25">
      <c r="B397" s="977"/>
      <c r="C397" s="977"/>
      <c r="D397" s="977"/>
      <c r="E397" s="977"/>
      <c r="F397" s="977"/>
      <c r="G397" s="977"/>
      <c r="H397" s="497"/>
      <c r="I397" s="557"/>
      <c r="J397" s="557"/>
      <c r="K397" s="70"/>
    </row>
    <row r="398" spans="2:11" x14ac:dyDescent="0.25">
      <c r="B398" s="986" t="e">
        <f>CONCATENATE(#REF!," - RESERVA DE REAVALIAÇÃO")</f>
        <v>#REF!</v>
      </c>
      <c r="C398" s="986"/>
      <c r="D398" s="986"/>
      <c r="E398" s="986"/>
      <c r="F398" s="986"/>
      <c r="G398" s="986"/>
      <c r="H398" s="814"/>
      <c r="I398" s="557"/>
      <c r="J398" s="557"/>
      <c r="K398" s="70"/>
    </row>
    <row r="399" spans="2:11" ht="34.5" customHeight="1" x14ac:dyDescent="0.25">
      <c r="B399" s="966" t="s">
        <v>6907</v>
      </c>
      <c r="C399" s="966"/>
      <c r="D399" s="966"/>
      <c r="E399" s="966"/>
      <c r="F399" s="966"/>
      <c r="G399" s="966"/>
      <c r="H399" s="498"/>
      <c r="I399" s="557"/>
      <c r="J399" s="557"/>
      <c r="K399" s="70"/>
    </row>
    <row r="400" spans="2:11" ht="36" customHeight="1" x14ac:dyDescent="0.25">
      <c r="B400" s="966" t="s">
        <v>7122</v>
      </c>
      <c r="C400" s="966"/>
      <c r="D400" s="966"/>
      <c r="E400" s="966"/>
      <c r="F400" s="966"/>
      <c r="G400" s="966"/>
      <c r="H400" s="498"/>
      <c r="I400" s="557"/>
      <c r="J400" s="557"/>
      <c r="K400" s="70"/>
    </row>
    <row r="401" spans="2:14" x14ac:dyDescent="0.25">
      <c r="B401" s="977"/>
      <c r="C401" s="977"/>
      <c r="D401" s="977"/>
      <c r="E401" s="977"/>
      <c r="F401" s="977"/>
      <c r="G401" s="977"/>
      <c r="H401" s="497"/>
      <c r="I401" s="557"/>
      <c r="J401" s="557"/>
      <c r="K401" s="70"/>
    </row>
    <row r="402" spans="2:14" x14ac:dyDescent="0.25">
      <c r="B402" s="511" t="s">
        <v>6911</v>
      </c>
      <c r="C402" s="537"/>
      <c r="D402" s="365" t="str">
        <f>D359</f>
        <v xml:space="preserve"> Dezembro 2025</v>
      </c>
      <c r="E402" s="541"/>
      <c r="F402" s="365" t="str">
        <f>F359</f>
        <v xml:space="preserve"> Dezembro 2024</v>
      </c>
      <c r="G402" s="503"/>
      <c r="H402" s="70"/>
      <c r="I402" s="557"/>
      <c r="J402" s="557"/>
      <c r="K402" s="70"/>
    </row>
    <row r="403" spans="2:14" x14ac:dyDescent="0.25">
      <c r="B403" s="542" t="s">
        <v>6910</v>
      </c>
      <c r="C403" s="388"/>
      <c r="D403" s="544" t="e">
        <f>-#REF!</f>
        <v>#REF!</v>
      </c>
      <c r="E403" s="394"/>
      <c r="F403" s="544">
        <v>1231</v>
      </c>
      <c r="G403" s="505"/>
      <c r="H403" s="70"/>
      <c r="I403" s="556" t="e">
        <f>D403+#REF!</f>
        <v>#REF!</v>
      </c>
      <c r="J403" s="557"/>
      <c r="K403" s="70"/>
    </row>
    <row r="404" spans="2:14" x14ac:dyDescent="0.25">
      <c r="B404" s="543" t="s">
        <v>6909</v>
      </c>
      <c r="C404" s="535"/>
      <c r="D404" s="544">
        <f>D364</f>
        <v>13274</v>
      </c>
      <c r="E404" s="545"/>
      <c r="F404" s="544">
        <v>14505</v>
      </c>
      <c r="G404" s="508"/>
      <c r="H404" s="70"/>
      <c r="I404" s="556">
        <f>D404-'1. BP (mil)'!H60</f>
        <v>0</v>
      </c>
      <c r="J404" s="556">
        <f>F404-'1. BP (mil)'!J60</f>
        <v>0</v>
      </c>
      <c r="K404" s="70"/>
    </row>
    <row r="405" spans="2:14" x14ac:dyDescent="0.25">
      <c r="B405" s="977"/>
      <c r="C405" s="977"/>
      <c r="D405" s="977"/>
      <c r="E405" s="977"/>
      <c r="F405" s="977"/>
      <c r="G405" s="977"/>
      <c r="H405" s="497"/>
      <c r="I405" s="557"/>
      <c r="J405" s="557"/>
      <c r="K405" s="70"/>
    </row>
    <row r="406" spans="2:14" x14ac:dyDescent="0.25">
      <c r="B406" s="986" t="e">
        <f>CONCATENATE(#REF!," - AJUSTE DE AVALIAÇÃO PATRIMONIAL")</f>
        <v>#REF!</v>
      </c>
      <c r="C406" s="986"/>
      <c r="D406" s="986"/>
      <c r="E406" s="986"/>
      <c r="F406" s="986"/>
      <c r="G406" s="986"/>
      <c r="H406" s="814"/>
      <c r="I406" s="557"/>
      <c r="J406" s="557"/>
      <c r="K406" s="70"/>
    </row>
    <row r="407" spans="2:14" ht="112.5" customHeight="1" x14ac:dyDescent="0.25">
      <c r="B407" s="966" t="s">
        <v>7162</v>
      </c>
      <c r="C407" s="966"/>
      <c r="D407" s="966"/>
      <c r="E407" s="966"/>
      <c r="F407" s="966"/>
      <c r="G407" s="966"/>
      <c r="H407" s="498"/>
      <c r="I407" s="557"/>
      <c r="J407" s="557"/>
      <c r="K407" s="70"/>
    </row>
    <row r="408" spans="2:14" x14ac:dyDescent="0.25">
      <c r="B408" s="977"/>
      <c r="C408" s="977"/>
      <c r="D408" s="977"/>
      <c r="E408" s="977"/>
      <c r="F408" s="977"/>
      <c r="G408" s="977"/>
      <c r="H408" s="497"/>
      <c r="I408" s="557"/>
      <c r="J408" s="557"/>
      <c r="K408" s="70"/>
    </row>
    <row r="409" spans="2:14" s="84" customFormat="1" x14ac:dyDescent="0.25">
      <c r="B409" s="995" t="e">
        <f>CONCATENATE(#REF!," - PREJUÍZOS ACUMULADOS")</f>
        <v>#REF!</v>
      </c>
      <c r="C409" s="995"/>
      <c r="D409" s="995"/>
      <c r="E409" s="995"/>
      <c r="F409" s="995"/>
      <c r="G409" s="995"/>
      <c r="H409" s="813"/>
      <c r="I409" s="684"/>
      <c r="J409" s="684"/>
      <c r="K409" s="479"/>
    </row>
    <row r="410" spans="2:14" s="84" customFormat="1" ht="41.25" customHeight="1" x14ac:dyDescent="0.25">
      <c r="B410" s="993" t="s">
        <v>7343</v>
      </c>
      <c r="C410" s="993"/>
      <c r="D410" s="993"/>
      <c r="E410" s="993"/>
      <c r="F410" s="993"/>
      <c r="G410" s="993"/>
      <c r="H410" s="807"/>
      <c r="I410" s="684"/>
      <c r="J410" s="684"/>
      <c r="K410" s="479"/>
    </row>
    <row r="411" spans="2:14" s="84" customFormat="1" x14ac:dyDescent="0.25">
      <c r="B411" s="992"/>
      <c r="C411" s="992"/>
      <c r="D411" s="992"/>
      <c r="E411" s="992"/>
      <c r="F411" s="992"/>
      <c r="G411" s="992"/>
      <c r="H411" s="764"/>
      <c r="I411" s="684"/>
      <c r="J411" s="684"/>
      <c r="K411" s="479"/>
    </row>
    <row r="412" spans="2:14" x14ac:dyDescent="0.25">
      <c r="B412" s="511" t="s">
        <v>7168</v>
      </c>
      <c r="C412" s="686"/>
      <c r="D412" s="530"/>
      <c r="E412" s="687"/>
      <c r="F412" s="530" t="str">
        <f>D402</f>
        <v xml:space="preserve"> Dezembro 2025</v>
      </c>
      <c r="G412" s="690"/>
      <c r="H412" s="70"/>
      <c r="I412" s="70"/>
      <c r="J412" s="70"/>
      <c r="K412" s="70"/>
    </row>
    <row r="413" spans="2:14" x14ac:dyDescent="0.25">
      <c r="B413" s="516" t="s">
        <v>7340</v>
      </c>
      <c r="C413" s="372"/>
      <c r="D413" s="376"/>
      <c r="E413" s="92"/>
      <c r="F413" s="907">
        <f>'2. DRE (mil)'!H35</f>
        <v>-4087</v>
      </c>
      <c r="G413" s="505"/>
      <c r="H413" s="70"/>
      <c r="I413" s="70"/>
      <c r="J413" s="70"/>
      <c r="K413" s="70"/>
    </row>
    <row r="414" spans="2:14" x14ac:dyDescent="0.25">
      <c r="B414" s="516" t="s">
        <v>7169</v>
      </c>
      <c r="C414" s="372"/>
      <c r="D414" s="376"/>
      <c r="E414" s="92"/>
      <c r="F414" s="685" t="e">
        <f>-#REF!</f>
        <v>#REF!</v>
      </c>
      <c r="G414" s="505"/>
      <c r="H414" s="70"/>
      <c r="I414" s="70"/>
      <c r="J414" s="759"/>
      <c r="K414" s="479"/>
    </row>
    <row r="415" spans="2:14" x14ac:dyDescent="0.25">
      <c r="B415" s="516" t="s">
        <v>7339</v>
      </c>
      <c r="C415" s="372"/>
      <c r="D415" s="376"/>
      <c r="E415" s="92"/>
      <c r="F415" s="685">
        <v>2856</v>
      </c>
      <c r="G415" s="505"/>
      <c r="H415" s="70"/>
      <c r="I415" s="70"/>
      <c r="J415" s="759"/>
      <c r="K415" s="479"/>
    </row>
    <row r="416" spans="2:14" x14ac:dyDescent="0.25">
      <c r="B416" s="511" t="s">
        <v>4503</v>
      </c>
      <c r="C416" s="688"/>
      <c r="D416" s="566"/>
      <c r="E416" s="689"/>
      <c r="F416" s="760" t="e">
        <f>SUM(E413:F415)</f>
        <v>#REF!</v>
      </c>
      <c r="G416" s="690"/>
      <c r="H416" s="70"/>
      <c r="I416" s="70"/>
      <c r="J416" s="556">
        <f>'Notas Explicativas'!J58</f>
        <v>0</v>
      </c>
      <c r="K416" s="70"/>
      <c r="L416" s="556" t="e">
        <f>F416-'4. DRA (mil)'!G20</f>
        <v>#REF!</v>
      </c>
      <c r="N416" s="556" t="e">
        <f>F416-'6. DMPL (mil)'!H33</f>
        <v>#REF!</v>
      </c>
    </row>
    <row r="417" spans="2:11" x14ac:dyDescent="0.25">
      <c r="B417" s="977"/>
      <c r="C417" s="977"/>
      <c r="D417" s="977"/>
      <c r="E417" s="977"/>
      <c r="F417" s="977"/>
      <c r="G417" s="70"/>
      <c r="H417" s="70"/>
      <c r="I417" s="70"/>
      <c r="J417" s="557"/>
      <c r="K417" s="70"/>
    </row>
    <row r="418" spans="2:11" x14ac:dyDescent="0.25">
      <c r="B418" s="986" t="e">
        <f>CONCATENATE(#REF!," - RECEITA OPERACIONAL LÍQUIDA")</f>
        <v>#REF!</v>
      </c>
      <c r="C418" s="986"/>
      <c r="D418" s="986"/>
      <c r="E418" s="986"/>
      <c r="F418" s="986"/>
      <c r="G418" s="986"/>
      <c r="H418" s="814"/>
      <c r="I418" s="557"/>
      <c r="J418" s="557"/>
      <c r="K418" s="70"/>
    </row>
    <row r="419" spans="2:11" ht="13.5" customHeight="1" x14ac:dyDescent="0.25">
      <c r="B419" s="977"/>
      <c r="C419" s="977"/>
      <c r="D419" s="977"/>
      <c r="E419" s="977"/>
      <c r="F419" s="977"/>
      <c r="G419" s="977"/>
      <c r="H419" s="497"/>
      <c r="I419" s="557"/>
      <c r="J419" s="557"/>
      <c r="K419" s="70"/>
    </row>
    <row r="420" spans="2:11" x14ac:dyDescent="0.25">
      <c r="B420" s="985" t="e">
        <f>CONCATENATE(#REF!,".1 - RECEITA BRUTA DE VENDAS DE PRODUTOS E SERVIÇOS")</f>
        <v>#REF!</v>
      </c>
      <c r="C420" s="985"/>
      <c r="D420" s="985"/>
      <c r="E420" s="985"/>
      <c r="F420" s="985"/>
      <c r="G420" s="985"/>
      <c r="H420" s="811"/>
      <c r="I420" s="557"/>
      <c r="J420" s="557"/>
      <c r="K420" s="70"/>
    </row>
    <row r="421" spans="2:11" ht="191.25" customHeight="1" x14ac:dyDescent="0.25">
      <c r="B421" s="966" t="s">
        <v>7197</v>
      </c>
      <c r="C421" s="966"/>
      <c r="D421" s="966"/>
      <c r="E421" s="966"/>
      <c r="F421" s="966"/>
      <c r="G421" s="966"/>
      <c r="H421" s="498"/>
      <c r="I421" s="557"/>
      <c r="J421" s="557"/>
      <c r="K421" s="70"/>
    </row>
    <row r="422" spans="2:11" ht="10.5" customHeight="1" x14ac:dyDescent="0.25">
      <c r="B422" s="977"/>
      <c r="C422" s="977"/>
      <c r="D422" s="977"/>
      <c r="E422" s="977"/>
      <c r="F422" s="977"/>
      <c r="G422" s="977"/>
      <c r="H422" s="497"/>
      <c r="I422" s="559"/>
      <c r="J422" s="559"/>
      <c r="K422" s="77"/>
    </row>
    <row r="423" spans="2:11" ht="51.75" customHeight="1" x14ac:dyDescent="0.25">
      <c r="B423" s="966" t="s">
        <v>6929</v>
      </c>
      <c r="C423" s="966"/>
      <c r="D423" s="966"/>
      <c r="E423" s="966"/>
      <c r="F423" s="966"/>
      <c r="G423" s="966"/>
      <c r="H423" s="498"/>
      <c r="I423" s="557"/>
      <c r="J423" s="557"/>
      <c r="K423" s="70"/>
    </row>
    <row r="424" spans="2:11" ht="10.5" customHeight="1" x14ac:dyDescent="0.25">
      <c r="B424" s="977"/>
      <c r="C424" s="977"/>
      <c r="D424" s="977"/>
      <c r="E424" s="977"/>
      <c r="F424" s="977"/>
      <c r="G424" s="977"/>
      <c r="H424" s="497"/>
      <c r="I424" s="557"/>
      <c r="J424" s="557"/>
      <c r="K424" s="70"/>
    </row>
    <row r="425" spans="2:11" x14ac:dyDescent="0.25">
      <c r="B425" s="511" t="s">
        <v>6930</v>
      </c>
      <c r="C425" s="537"/>
      <c r="D425" s="365" t="str">
        <f>D402</f>
        <v xml:space="preserve"> Dezembro 2025</v>
      </c>
      <c r="E425" s="518"/>
      <c r="F425" s="546" t="s">
        <v>7312</v>
      </c>
      <c r="G425" s="503"/>
      <c r="H425" s="70"/>
      <c r="I425" s="557"/>
      <c r="J425" s="557"/>
      <c r="K425" s="70"/>
    </row>
    <row r="426" spans="2:11" x14ac:dyDescent="0.25">
      <c r="B426" s="547" t="s">
        <v>6936</v>
      </c>
      <c r="C426" s="388"/>
      <c r="D426" s="390">
        <v>0</v>
      </c>
      <c r="E426" s="387"/>
      <c r="F426" s="390">
        <v>6013</v>
      </c>
      <c r="G426" s="505"/>
      <c r="H426" s="70"/>
      <c r="I426" s="557"/>
      <c r="J426" s="557"/>
      <c r="K426" s="70"/>
    </row>
    <row r="427" spans="2:11" x14ac:dyDescent="0.25">
      <c r="B427" s="523" t="s">
        <v>6931</v>
      </c>
      <c r="C427" s="388"/>
      <c r="D427" s="732">
        <v>71</v>
      </c>
      <c r="E427" s="387"/>
      <c r="F427" s="386">
        <v>493</v>
      </c>
      <c r="G427" s="505"/>
      <c r="H427" s="70"/>
      <c r="I427" s="557"/>
      <c r="J427" s="557"/>
      <c r="K427" s="70"/>
    </row>
    <row r="428" spans="2:11" x14ac:dyDescent="0.25">
      <c r="B428" s="547" t="s">
        <v>6933</v>
      </c>
      <c r="C428" s="388"/>
      <c r="D428" s="733">
        <f>1313</f>
        <v>1313</v>
      </c>
      <c r="E428" s="387"/>
      <c r="F428" s="390">
        <v>7420</v>
      </c>
      <c r="G428" s="505"/>
      <c r="H428" s="70"/>
      <c r="I428" s="557"/>
      <c r="J428" s="557"/>
      <c r="K428" s="70"/>
    </row>
    <row r="429" spans="2:11" x14ac:dyDescent="0.25">
      <c r="B429" s="547" t="s">
        <v>6935</v>
      </c>
      <c r="C429" s="388"/>
      <c r="D429" s="733">
        <v>0</v>
      </c>
      <c r="E429" s="387"/>
      <c r="F429" s="390">
        <v>45</v>
      </c>
      <c r="G429" s="505"/>
      <c r="H429" s="70"/>
      <c r="I429" s="557"/>
      <c r="J429" s="557"/>
      <c r="K429" s="70"/>
    </row>
    <row r="430" spans="2:11" x14ac:dyDescent="0.25">
      <c r="B430" s="547" t="s">
        <v>6934</v>
      </c>
      <c r="C430" s="388"/>
      <c r="D430" s="733">
        <f>9698-3694</f>
        <v>6004</v>
      </c>
      <c r="E430" s="387"/>
      <c r="F430" s="390">
        <v>21873</v>
      </c>
      <c r="G430" s="505"/>
      <c r="H430" s="70"/>
      <c r="I430" s="557"/>
      <c r="J430" s="557"/>
      <c r="K430" s="70"/>
    </row>
    <row r="431" spans="2:11" x14ac:dyDescent="0.25">
      <c r="B431" s="547" t="s">
        <v>6932</v>
      </c>
      <c r="C431" s="388"/>
      <c r="D431" s="733">
        <v>6418</v>
      </c>
      <c r="E431" s="387"/>
      <c r="F431" s="390">
        <v>60</v>
      </c>
      <c r="G431" s="505"/>
      <c r="H431" s="70"/>
      <c r="I431" s="557"/>
      <c r="J431" s="557"/>
      <c r="K431" s="70"/>
    </row>
    <row r="432" spans="2:11" x14ac:dyDescent="0.25">
      <c r="B432" s="504" t="s">
        <v>6937</v>
      </c>
      <c r="C432" s="388"/>
      <c r="D432" s="733">
        <v>11944</v>
      </c>
      <c r="E432" s="387"/>
      <c r="F432" s="390">
        <v>37</v>
      </c>
      <c r="G432" s="505"/>
      <c r="H432" s="70"/>
      <c r="I432" s="557"/>
      <c r="J432" s="557"/>
      <c r="K432" s="70"/>
    </row>
    <row r="433" spans="2:11" x14ac:dyDescent="0.25">
      <c r="B433" s="504" t="s">
        <v>7245</v>
      </c>
      <c r="C433" s="388"/>
      <c r="D433" s="733">
        <v>255</v>
      </c>
      <c r="E433" s="387"/>
      <c r="F433" s="390">
        <v>216</v>
      </c>
      <c r="G433" s="505"/>
      <c r="H433" s="70"/>
      <c r="I433" s="759"/>
      <c r="J433" s="759"/>
      <c r="K433" s="70"/>
    </row>
    <row r="434" spans="2:11" x14ac:dyDescent="0.25">
      <c r="B434" s="504" t="s">
        <v>7246</v>
      </c>
      <c r="C434" s="388"/>
      <c r="D434" s="733">
        <v>10871</v>
      </c>
      <c r="E434" s="387"/>
      <c r="F434" s="390">
        <v>3532</v>
      </c>
      <c r="G434" s="505"/>
      <c r="H434" s="70"/>
      <c r="I434" s="759"/>
      <c r="J434" s="759"/>
      <c r="K434" s="70"/>
    </row>
    <row r="435" spans="2:11" x14ac:dyDescent="0.25">
      <c r="B435" s="504" t="s">
        <v>7392</v>
      </c>
      <c r="C435" s="388"/>
      <c r="D435" s="733">
        <v>1471</v>
      </c>
      <c r="E435" s="387"/>
      <c r="F435" s="390">
        <v>0</v>
      </c>
      <c r="G435" s="505"/>
      <c r="H435" s="70"/>
      <c r="I435" s="759"/>
      <c r="J435" s="759"/>
      <c r="K435" s="70"/>
    </row>
    <row r="436" spans="2:11" x14ac:dyDescent="0.25">
      <c r="B436" s="504" t="s">
        <v>7393</v>
      </c>
      <c r="C436" s="388"/>
      <c r="D436" s="803">
        <v>16</v>
      </c>
      <c r="E436" s="387"/>
      <c r="F436" s="390">
        <v>0</v>
      </c>
      <c r="G436" s="505"/>
      <c r="H436" s="70"/>
      <c r="I436" s="759"/>
      <c r="J436" s="759"/>
      <c r="K436" s="479"/>
    </row>
    <row r="437" spans="2:11" x14ac:dyDescent="0.25">
      <c r="B437" s="511" t="s">
        <v>4503</v>
      </c>
      <c r="C437" s="535"/>
      <c r="D437" s="566">
        <f>SUM(D426:D436)</f>
        <v>38363</v>
      </c>
      <c r="E437" s="568"/>
      <c r="F437" s="569">
        <f>SUM(F426:F436)</f>
        <v>39689</v>
      </c>
      <c r="G437" s="508"/>
      <c r="H437" s="70"/>
      <c r="I437" s="556" t="e">
        <f>ROUND((D437-#REF!/1000),0)</f>
        <v>#REF!</v>
      </c>
      <c r="J437" s="556" t="e">
        <f>ROUND((F437-#REF!/1000),0)</f>
        <v>#REF!</v>
      </c>
      <c r="K437" s="70"/>
    </row>
    <row r="438" spans="2:11" x14ac:dyDescent="0.25">
      <c r="B438" s="977"/>
      <c r="C438" s="977"/>
      <c r="D438" s="977"/>
      <c r="E438" s="977"/>
      <c r="F438" s="977"/>
      <c r="G438" s="977"/>
      <c r="H438" s="497"/>
      <c r="I438" s="557"/>
      <c r="J438" s="557"/>
      <c r="K438" s="70"/>
    </row>
    <row r="439" spans="2:11" x14ac:dyDescent="0.25">
      <c r="B439" s="986" t="e">
        <f>CONCATENATE(#REF!,".1.1 - REGIME ESPECIAL DE TRIBUTAÇÃO PARA A INDÚSTRIA DE DEFESA – RETID ")</f>
        <v>#REF!</v>
      </c>
      <c r="C439" s="986"/>
      <c r="D439" s="986"/>
      <c r="E439" s="986"/>
      <c r="F439" s="986"/>
      <c r="G439" s="986"/>
      <c r="H439" s="814"/>
      <c r="I439" s="557"/>
      <c r="J439" s="557"/>
      <c r="K439" s="70"/>
    </row>
    <row r="440" spans="2:11" ht="129" customHeight="1" x14ac:dyDescent="0.25">
      <c r="B440" s="966" t="s">
        <v>6938</v>
      </c>
      <c r="C440" s="966"/>
      <c r="D440" s="966"/>
      <c r="E440" s="966"/>
      <c r="F440" s="966"/>
      <c r="G440" s="966"/>
      <c r="H440" s="498"/>
      <c r="I440" s="557"/>
      <c r="J440" s="557"/>
      <c r="K440" s="70"/>
    </row>
    <row r="441" spans="2:11" ht="35.25" customHeight="1" x14ac:dyDescent="0.25">
      <c r="B441" s="986" t="e">
        <f>CONCATENATE(#REF!,".1.2 - O REGIME ADUANEIRO ESPECIAL DE IMPORTAÇÃO E EXPORTAÇÃO DE BENS - REPETRO INDUSTRIALIZAÇÃO")</f>
        <v>#REF!</v>
      </c>
      <c r="C441" s="986"/>
      <c r="D441" s="986"/>
      <c r="E441" s="986"/>
      <c r="F441" s="986"/>
      <c r="G441" s="986"/>
      <c r="H441" s="814"/>
      <c r="I441" s="557"/>
      <c r="J441" s="557"/>
      <c r="K441" s="70"/>
    </row>
    <row r="442" spans="2:11" ht="128.25" customHeight="1" x14ac:dyDescent="0.25">
      <c r="B442" s="966" t="s">
        <v>7198</v>
      </c>
      <c r="C442" s="966"/>
      <c r="D442" s="966"/>
      <c r="E442" s="966"/>
      <c r="F442" s="966"/>
      <c r="G442" s="966"/>
      <c r="H442" s="498"/>
      <c r="I442" s="557"/>
      <c r="J442" s="557"/>
      <c r="K442" s="70"/>
    </row>
    <row r="443" spans="2:11" x14ac:dyDescent="0.25">
      <c r="B443" s="966"/>
      <c r="C443" s="966"/>
      <c r="D443" s="966"/>
      <c r="E443" s="966"/>
      <c r="F443" s="966"/>
      <c r="G443" s="966"/>
      <c r="H443" s="498"/>
      <c r="I443" s="557"/>
      <c r="J443" s="557"/>
      <c r="K443" s="70"/>
    </row>
    <row r="444" spans="2:11" x14ac:dyDescent="0.25">
      <c r="B444" s="498"/>
      <c r="C444" s="498"/>
      <c r="D444" s="498"/>
      <c r="E444" s="498"/>
      <c r="F444" s="498"/>
      <c r="G444" s="498"/>
      <c r="H444" s="498"/>
      <c r="I444" s="557"/>
      <c r="J444" s="557"/>
      <c r="K444" s="70"/>
    </row>
    <row r="445" spans="2:11" x14ac:dyDescent="0.25">
      <c r="B445" s="986" t="e">
        <f>CONCATENATE(#REF!,".2 - RECURSOS ORÇAMENTÁRIOS DO TESOURO NACIONAL – SUBVENÇÕES")</f>
        <v>#REF!</v>
      </c>
      <c r="C445" s="986"/>
      <c r="D445" s="986"/>
      <c r="E445" s="986"/>
      <c r="F445" s="986"/>
      <c r="G445" s="986"/>
      <c r="H445" s="814"/>
      <c r="I445" s="557"/>
      <c r="J445" s="557"/>
      <c r="K445" s="70"/>
    </row>
    <row r="446" spans="2:11" ht="53.25" customHeight="1" x14ac:dyDescent="0.25">
      <c r="B446" s="966" t="s">
        <v>7199</v>
      </c>
      <c r="C446" s="966"/>
      <c r="D446" s="966"/>
      <c r="E446" s="966"/>
      <c r="F446" s="966"/>
      <c r="G446" s="966"/>
      <c r="H446" s="498"/>
      <c r="I446" s="557"/>
      <c r="J446" s="557"/>
      <c r="K446" s="70"/>
    </row>
    <row r="447" spans="2:11" x14ac:dyDescent="0.25">
      <c r="B447" s="977"/>
      <c r="C447" s="977"/>
      <c r="D447" s="977"/>
      <c r="E447" s="977"/>
      <c r="F447" s="977"/>
      <c r="G447" s="977"/>
      <c r="H447" s="497"/>
      <c r="I447" s="557"/>
      <c r="J447" s="557"/>
      <c r="K447" s="70"/>
    </row>
    <row r="448" spans="2:11" ht="67.5" customHeight="1" x14ac:dyDescent="0.25">
      <c r="B448" s="966" t="s">
        <v>6940</v>
      </c>
      <c r="C448" s="966"/>
      <c r="D448" s="966"/>
      <c r="E448" s="966"/>
      <c r="F448" s="966"/>
      <c r="G448" s="966"/>
      <c r="H448" s="498"/>
      <c r="I448" s="557"/>
      <c r="J448" s="557"/>
      <c r="K448" s="70"/>
    </row>
    <row r="449" spans="2:15" x14ac:dyDescent="0.25">
      <c r="B449" s="977"/>
      <c r="C449" s="977"/>
      <c r="D449" s="977"/>
      <c r="E449" s="977"/>
      <c r="F449" s="977"/>
      <c r="G449" s="977"/>
      <c r="H449" s="497"/>
      <c r="I449" s="557"/>
      <c r="J449" s="557"/>
      <c r="K449" s="70"/>
    </row>
    <row r="450" spans="2:15" x14ac:dyDescent="0.25">
      <c r="B450" s="511" t="s">
        <v>6941</v>
      </c>
      <c r="C450" s="517"/>
      <c r="D450" s="365" t="str">
        <f>D425</f>
        <v xml:space="preserve"> Dezembro 2025</v>
      </c>
      <c r="E450" s="518"/>
      <c r="F450" s="365" t="str">
        <f>F425</f>
        <v>Dezembro 2024</v>
      </c>
      <c r="G450" s="503"/>
      <c r="H450" s="70"/>
      <c r="I450" s="557"/>
      <c r="J450" s="557"/>
      <c r="K450" s="70"/>
    </row>
    <row r="451" spans="2:15" x14ac:dyDescent="0.25">
      <c r="B451" s="516" t="s">
        <v>6942</v>
      </c>
      <c r="C451" s="372"/>
      <c r="D451" s="670">
        <v>361924</v>
      </c>
      <c r="E451" s="671"/>
      <c r="F451" s="403">
        <v>370610</v>
      </c>
      <c r="G451" s="505"/>
      <c r="H451" s="70"/>
      <c r="I451" s="557"/>
      <c r="J451" s="684"/>
      <c r="K451" s="70"/>
    </row>
    <row r="452" spans="2:15" x14ac:dyDescent="0.25">
      <c r="B452" s="516" t="s">
        <v>6946</v>
      </c>
      <c r="C452" s="372"/>
      <c r="D452" s="670">
        <f>52146-11572</f>
        <v>40574</v>
      </c>
      <c r="E452" s="671"/>
      <c r="F452" s="403">
        <v>455</v>
      </c>
      <c r="G452" s="505"/>
      <c r="H452" s="70"/>
      <c r="I452" s="557"/>
      <c r="J452" s="557"/>
      <c r="K452" s="70"/>
    </row>
    <row r="453" spans="2:15" x14ac:dyDescent="0.25">
      <c r="B453" s="516" t="s">
        <v>6947</v>
      </c>
      <c r="C453" s="372"/>
      <c r="D453" s="670">
        <v>46205</v>
      </c>
      <c r="E453" s="671"/>
      <c r="F453" s="403">
        <v>39597</v>
      </c>
      <c r="G453" s="505"/>
      <c r="H453" s="70"/>
      <c r="J453" s="731" t="s">
        <v>7244</v>
      </c>
      <c r="K453" s="70"/>
    </row>
    <row r="454" spans="2:15" x14ac:dyDescent="0.25">
      <c r="B454" s="516" t="s">
        <v>6948</v>
      </c>
      <c r="C454" s="92"/>
      <c r="D454" s="670">
        <v>1780</v>
      </c>
      <c r="E454" s="672"/>
      <c r="F454" s="673">
        <v>4751</v>
      </c>
      <c r="G454" s="505"/>
      <c r="H454" s="70"/>
      <c r="I454" s="557"/>
      <c r="J454" s="684" t="s">
        <v>7248</v>
      </c>
      <c r="K454" s="70"/>
    </row>
    <row r="455" spans="2:15" x14ac:dyDescent="0.25">
      <c r="B455" s="511" t="s">
        <v>6949</v>
      </c>
      <c r="C455" s="372"/>
      <c r="D455" s="377">
        <f>SUM(D451:D454)</f>
        <v>450483</v>
      </c>
      <c r="E455" s="92"/>
      <c r="F455" s="377">
        <f>SUM(F451:F454)</f>
        <v>415413</v>
      </c>
      <c r="G455" s="505"/>
      <c r="H455" s="70"/>
      <c r="I455" s="556" t="e">
        <f>ROUND((D455-#REF!/1000),0)</f>
        <v>#REF!</v>
      </c>
      <c r="J455" s="556" t="e">
        <f>ROUND((F455-#REF!/1000),0)</f>
        <v>#REF!</v>
      </c>
      <c r="K455" s="70"/>
    </row>
    <row r="456" spans="2:15" x14ac:dyDescent="0.25">
      <c r="B456" s="514"/>
      <c r="C456" s="372"/>
      <c r="D456" s="92"/>
      <c r="E456" s="92"/>
      <c r="F456" s="92"/>
      <c r="G456" s="505"/>
      <c r="H456" s="70"/>
      <c r="I456" s="557"/>
      <c r="J456" s="557"/>
      <c r="K456" s="70"/>
    </row>
    <row r="457" spans="2:15" x14ac:dyDescent="0.25">
      <c r="B457" s="548" t="s">
        <v>6943</v>
      </c>
      <c r="C457" s="372"/>
      <c r="D457" s="405">
        <f>D455+D437</f>
        <v>488846</v>
      </c>
      <c r="E457" s="92"/>
      <c r="F457" s="405">
        <f>F455+F437</f>
        <v>455102</v>
      </c>
      <c r="G457" s="505"/>
      <c r="H457" s="70"/>
      <c r="I457" s="557"/>
      <c r="J457" s="557"/>
      <c r="K457" s="70"/>
    </row>
    <row r="458" spans="2:15" x14ac:dyDescent="0.25">
      <c r="B458" s="514"/>
      <c r="C458" s="372"/>
      <c r="D458" s="92"/>
      <c r="E458" s="92"/>
      <c r="F458" s="92"/>
      <c r="G458" s="505"/>
      <c r="H458" s="70"/>
      <c r="I458" s="557"/>
      <c r="J458" s="557"/>
      <c r="K458" s="70"/>
    </row>
    <row r="459" spans="2:15" x14ac:dyDescent="0.25">
      <c r="B459" s="549" t="s">
        <v>6944</v>
      </c>
      <c r="C459" s="372"/>
      <c r="D459" s="374" t="str">
        <f>D450</f>
        <v xml:space="preserve"> Dezembro 2025</v>
      </c>
      <c r="E459" s="359"/>
      <c r="F459" s="374" t="str">
        <f>F450</f>
        <v>Dezembro 2024</v>
      </c>
      <c r="G459" s="505"/>
      <c r="H459" s="70"/>
      <c r="I459" s="557"/>
      <c r="J459" s="557"/>
      <c r="K459" s="70"/>
    </row>
    <row r="460" spans="2:15" x14ac:dyDescent="0.2">
      <c r="B460" s="516"/>
      <c r="C460" s="372"/>
      <c r="D460" s="406"/>
      <c r="E460" s="406"/>
      <c r="F460" s="406"/>
      <c r="G460" s="550"/>
      <c r="H460" s="78"/>
      <c r="I460" s="560"/>
      <c r="J460" s="560"/>
      <c r="K460" s="78"/>
      <c r="L460" s="648"/>
      <c r="O460" s="6"/>
    </row>
    <row r="461" spans="2:15" x14ac:dyDescent="0.25">
      <c r="B461" s="516" t="s">
        <v>6950</v>
      </c>
      <c r="C461" s="372"/>
      <c r="D461" s="376">
        <f>D457</f>
        <v>488846</v>
      </c>
      <c r="E461" s="384"/>
      <c r="F461" s="376">
        <f>F457</f>
        <v>455102</v>
      </c>
      <c r="G461" s="505"/>
      <c r="H461" s="70"/>
      <c r="I461" s="557"/>
      <c r="J461" s="557"/>
      <c r="K461" s="70"/>
      <c r="L461" s="648"/>
      <c r="O461" s="6"/>
    </row>
    <row r="462" spans="2:15" x14ac:dyDescent="0.2">
      <c r="B462" s="516" t="s">
        <v>6951</v>
      </c>
      <c r="C462" s="372"/>
      <c r="D462" s="404" t="e">
        <f>ROUND((#REF!/1000),0)</f>
        <v>#REF!</v>
      </c>
      <c r="E462" s="384"/>
      <c r="F462" s="404">
        <v>-2584</v>
      </c>
      <c r="G462" s="550"/>
      <c r="H462" s="78"/>
      <c r="I462" s="560"/>
      <c r="J462" s="560"/>
      <c r="K462" s="78"/>
      <c r="L462" s="648"/>
      <c r="O462" s="6"/>
    </row>
    <row r="463" spans="2:15" x14ac:dyDescent="0.25">
      <c r="B463" s="511" t="s">
        <v>6945</v>
      </c>
      <c r="C463" s="519"/>
      <c r="D463" s="566" t="e">
        <f>SUM(D461:D462)</f>
        <v>#REF!</v>
      </c>
      <c r="E463" s="568"/>
      <c r="F463" s="569">
        <f>SUM(F461:F462)</f>
        <v>452518</v>
      </c>
      <c r="G463" s="508"/>
      <c r="H463" s="70"/>
      <c r="I463" s="556" t="e">
        <f>ROUND((D463-'2. DRE (mil)'!H14),0)</f>
        <v>#REF!</v>
      </c>
      <c r="J463" s="556">
        <f>ROUND((F463-'2. DRE (mil)'!J14),0)</f>
        <v>0</v>
      </c>
      <c r="K463" s="70"/>
      <c r="L463" s="648"/>
    </row>
    <row r="464" spans="2:15" x14ac:dyDescent="0.25">
      <c r="B464" s="977"/>
      <c r="C464" s="977"/>
      <c r="D464" s="977"/>
      <c r="E464" s="977"/>
      <c r="F464" s="977"/>
      <c r="G464" s="977"/>
      <c r="H464" s="497"/>
      <c r="I464" s="557"/>
      <c r="J464" s="557"/>
      <c r="K464" s="70"/>
    </row>
    <row r="465" spans="2:11" x14ac:dyDescent="0.25">
      <c r="B465" s="985" t="e">
        <f>CONCATENATE(#REF!," - CUSTOS DOS PRODUTOS VENDIDOS")</f>
        <v>#REF!</v>
      </c>
      <c r="C465" s="985"/>
      <c r="D465" s="985"/>
      <c r="E465" s="985"/>
      <c r="F465" s="985"/>
      <c r="G465" s="985"/>
      <c r="H465" s="811"/>
      <c r="I465" s="557"/>
      <c r="J465" s="557"/>
      <c r="K465" s="70"/>
    </row>
    <row r="466" spans="2:11" ht="128.25" customHeight="1" x14ac:dyDescent="0.25">
      <c r="B466" s="966" t="s">
        <v>7300</v>
      </c>
      <c r="C466" s="966"/>
      <c r="D466" s="966"/>
      <c r="E466" s="966"/>
      <c r="F466" s="966"/>
      <c r="G466" s="966"/>
      <c r="H466" s="498"/>
      <c r="I466" s="557"/>
      <c r="J466" s="557"/>
      <c r="K466" s="70"/>
    </row>
    <row r="467" spans="2:11" x14ac:dyDescent="0.25">
      <c r="B467" s="977"/>
      <c r="C467" s="977"/>
      <c r="D467" s="977"/>
      <c r="E467" s="977"/>
      <c r="F467" s="977"/>
      <c r="G467" s="977"/>
      <c r="H467" s="497"/>
      <c r="I467" s="557"/>
      <c r="J467" s="557"/>
      <c r="K467" s="70"/>
    </row>
    <row r="468" spans="2:11" x14ac:dyDescent="0.25">
      <c r="B468" s="511" t="s">
        <v>6954</v>
      </c>
      <c r="C468" s="517"/>
      <c r="D468" s="365" t="str">
        <f>D459</f>
        <v xml:space="preserve"> Dezembro 2025</v>
      </c>
      <c r="E468" s="518"/>
      <c r="F468" s="365" t="str">
        <f>F459</f>
        <v>Dezembro 2024</v>
      </c>
      <c r="G468" s="503"/>
      <c r="H468" s="70"/>
      <c r="I468" s="557"/>
      <c r="J468" s="557"/>
      <c r="K468" s="70"/>
    </row>
    <row r="469" spans="2:11" x14ac:dyDescent="0.25">
      <c r="B469" s="516" t="s">
        <v>6955</v>
      </c>
      <c r="C469" s="388"/>
      <c r="D469" s="93">
        <f>-(67097.96/1000)</f>
        <v>-67.09796</v>
      </c>
      <c r="E469" s="381"/>
      <c r="F469" s="93">
        <v>-298</v>
      </c>
      <c r="G469" s="505"/>
      <c r="H469" s="70"/>
      <c r="I469" s="557"/>
      <c r="J469" s="557"/>
      <c r="K469" s="70"/>
    </row>
    <row r="470" spans="2:11" x14ac:dyDescent="0.25">
      <c r="B470" s="516" t="s">
        <v>6956</v>
      </c>
      <c r="C470" s="388"/>
      <c r="D470" s="93">
        <f>-(7243094.1475/1000)</f>
        <v>-7243.0941475</v>
      </c>
      <c r="E470" s="93"/>
      <c r="F470" s="93">
        <v>-18505</v>
      </c>
      <c r="G470" s="505"/>
      <c r="H470" s="70"/>
      <c r="I470" s="557"/>
      <c r="J470" s="557"/>
      <c r="K470" s="70"/>
    </row>
    <row r="471" spans="2:11" x14ac:dyDescent="0.25">
      <c r="B471" s="516" t="s">
        <v>6957</v>
      </c>
      <c r="C471" s="388"/>
      <c r="D471" s="93">
        <v>0</v>
      </c>
      <c r="E471" s="93"/>
      <c r="F471" s="93">
        <v>-5601</v>
      </c>
      <c r="G471" s="505"/>
      <c r="H471" s="70"/>
      <c r="I471" s="557"/>
      <c r="J471" s="557"/>
      <c r="K471" s="70"/>
    </row>
    <row r="472" spans="2:11" hidden="1" x14ac:dyDescent="0.25">
      <c r="B472" s="516" t="s">
        <v>6958</v>
      </c>
      <c r="C472" s="388"/>
      <c r="D472" s="93"/>
      <c r="E472" s="93"/>
      <c r="F472" s="93"/>
      <c r="G472" s="505"/>
      <c r="H472" s="70"/>
      <c r="I472" s="557"/>
      <c r="J472" s="557"/>
      <c r="K472" s="70"/>
    </row>
    <row r="473" spans="2:11" hidden="1" x14ac:dyDescent="0.25">
      <c r="B473" s="516" t="s">
        <v>4515</v>
      </c>
      <c r="C473" s="388"/>
      <c r="D473" s="93"/>
      <c r="E473" s="93"/>
      <c r="F473" s="93"/>
      <c r="G473" s="505"/>
      <c r="H473" s="70"/>
      <c r="I473" s="557"/>
      <c r="J473" s="557"/>
      <c r="K473" s="70"/>
    </row>
    <row r="474" spans="2:11" x14ac:dyDescent="0.25">
      <c r="B474" s="516" t="s">
        <v>6959</v>
      </c>
      <c r="C474" s="388"/>
      <c r="D474" s="93">
        <f>-(60102.7/1000)</f>
        <v>-60.102699999999999</v>
      </c>
      <c r="E474" s="93"/>
      <c r="F474" s="93">
        <v>-7124</v>
      </c>
      <c r="G474" s="505"/>
      <c r="H474" s="70"/>
      <c r="I474" s="557"/>
      <c r="J474" s="557"/>
      <c r="K474" s="70"/>
    </row>
    <row r="475" spans="2:11" hidden="1" x14ac:dyDescent="0.25">
      <c r="B475" s="516" t="s">
        <v>6960</v>
      </c>
      <c r="C475" s="388"/>
      <c r="D475" s="93"/>
      <c r="E475" s="93"/>
      <c r="F475" s="93"/>
      <c r="G475" s="505"/>
      <c r="H475" s="70"/>
      <c r="I475" s="557"/>
      <c r="J475" s="557"/>
      <c r="K475" s="70"/>
    </row>
    <row r="476" spans="2:11" x14ac:dyDescent="0.25">
      <c r="B476" s="516" t="s">
        <v>6958</v>
      </c>
      <c r="C476" s="388"/>
      <c r="D476" s="93">
        <v>-11011</v>
      </c>
      <c r="E476" s="93"/>
      <c r="F476" s="93"/>
      <c r="G476" s="505"/>
      <c r="H476" s="70"/>
      <c r="I476" s="557"/>
      <c r="J476" s="557"/>
      <c r="K476" s="70"/>
    </row>
    <row r="477" spans="2:11" x14ac:dyDescent="0.25">
      <c r="B477" s="516" t="s">
        <v>7394</v>
      </c>
      <c r="C477" s="388"/>
      <c r="D477" s="93">
        <v>-1490</v>
      </c>
      <c r="E477" s="93"/>
      <c r="F477" s="93"/>
      <c r="G477" s="505"/>
      <c r="H477" s="70"/>
      <c r="I477" s="557"/>
      <c r="J477" s="557"/>
      <c r="K477" s="70"/>
    </row>
    <row r="478" spans="2:11" x14ac:dyDescent="0.25">
      <c r="B478" s="516" t="s">
        <v>6961</v>
      </c>
      <c r="C478" s="388"/>
      <c r="D478" s="93">
        <v>0</v>
      </c>
      <c r="E478" s="93"/>
      <c r="F478" s="93">
        <v>-42</v>
      </c>
      <c r="G478" s="505"/>
      <c r="H478" s="70"/>
      <c r="I478" s="557"/>
      <c r="J478" s="557"/>
      <c r="K478" s="70"/>
    </row>
    <row r="479" spans="2:11" hidden="1" x14ac:dyDescent="0.25">
      <c r="B479" s="516" t="s">
        <v>6962</v>
      </c>
      <c r="C479" s="388"/>
      <c r="D479" s="93"/>
      <c r="E479" s="407"/>
      <c r="F479" s="93"/>
      <c r="G479" s="505"/>
      <c r="H479" s="70"/>
      <c r="I479" s="557"/>
      <c r="J479" s="557"/>
      <c r="K479" s="70"/>
    </row>
    <row r="480" spans="2:11" x14ac:dyDescent="0.25">
      <c r="B480" s="516" t="s">
        <v>6963</v>
      </c>
      <c r="C480" s="388"/>
      <c r="D480" s="93">
        <v>0</v>
      </c>
      <c r="E480" s="407"/>
      <c r="F480" s="93">
        <v>-184</v>
      </c>
      <c r="G480" s="505"/>
      <c r="H480" s="70"/>
      <c r="I480" s="557"/>
      <c r="J480" s="557"/>
      <c r="K480" s="70"/>
    </row>
    <row r="481" spans="2:14" x14ac:dyDescent="0.25">
      <c r="B481" s="516" t="s">
        <v>6964</v>
      </c>
      <c r="C481" s="388"/>
      <c r="D481" s="93">
        <f>-(1325950.25/1000)-6501</f>
        <v>-7826.9502499999999</v>
      </c>
      <c r="E481" s="407"/>
      <c r="F481" s="93">
        <v>-2020</v>
      </c>
      <c r="G481" s="505"/>
      <c r="H481" s="70"/>
      <c r="I481" s="557"/>
      <c r="J481" s="557"/>
      <c r="K481" s="70"/>
    </row>
    <row r="482" spans="2:14" x14ac:dyDescent="0.25">
      <c r="B482" s="516" t="s">
        <v>6965</v>
      </c>
      <c r="C482" s="388"/>
      <c r="D482" s="93">
        <v>-12098</v>
      </c>
      <c r="E482" s="407"/>
      <c r="F482" s="93">
        <v>-58</v>
      </c>
      <c r="G482" s="505"/>
      <c r="H482" s="70"/>
      <c r="I482" s="557"/>
      <c r="J482" s="557"/>
      <c r="K482" s="70"/>
    </row>
    <row r="483" spans="2:14" x14ac:dyDescent="0.25">
      <c r="B483" s="511" t="s">
        <v>4503</v>
      </c>
      <c r="C483" s="519"/>
      <c r="D483" s="570">
        <f>SUM(D469:D482)</f>
        <v>-39796.245057500004</v>
      </c>
      <c r="E483" s="571"/>
      <c r="F483" s="570">
        <f>SUM(F469:F482)</f>
        <v>-33832</v>
      </c>
      <c r="G483" s="508"/>
      <c r="H483" s="70"/>
      <c r="I483" s="556">
        <f>ROUND((D483-'2. DRE (mil)'!H15),0)</f>
        <v>0</v>
      </c>
      <c r="J483" s="556">
        <f>ROUND((F483-'2. DRE (mil)'!J15),0)</f>
        <v>0</v>
      </c>
      <c r="K483" s="70"/>
    </row>
    <row r="484" spans="2:14" x14ac:dyDescent="0.25">
      <c r="B484" s="977"/>
      <c r="C484" s="977"/>
      <c r="D484" s="977"/>
      <c r="E484" s="977"/>
      <c r="F484" s="977"/>
      <c r="G484" s="977"/>
      <c r="H484" s="497"/>
      <c r="I484" s="557"/>
      <c r="J484" s="557"/>
      <c r="K484" s="70"/>
    </row>
    <row r="485" spans="2:14" x14ac:dyDescent="0.25">
      <c r="B485" s="985" t="e">
        <f>CONCATENATE(#REF!," - DESPESAS ADMINISTRATIVAS E COMERCIAIS")</f>
        <v>#REF!</v>
      </c>
      <c r="C485" s="985"/>
      <c r="D485" s="985"/>
      <c r="E485" s="985"/>
      <c r="F485" s="985"/>
      <c r="G485" s="985"/>
      <c r="H485" s="811"/>
      <c r="I485" s="557"/>
      <c r="J485" s="557"/>
      <c r="K485" s="70"/>
    </row>
    <row r="486" spans="2:14" ht="57.75" customHeight="1" x14ac:dyDescent="0.25">
      <c r="B486" s="966" t="s">
        <v>6966</v>
      </c>
      <c r="C486" s="966"/>
      <c r="D486" s="966"/>
      <c r="E486" s="966"/>
      <c r="F486" s="966"/>
      <c r="G486" s="966"/>
      <c r="H486" s="498"/>
      <c r="I486" s="557"/>
      <c r="J486" s="557"/>
      <c r="K486" s="70"/>
    </row>
    <row r="487" spans="2:14" x14ac:dyDescent="0.25">
      <c r="B487" s="977"/>
      <c r="C487" s="977"/>
      <c r="D487" s="977"/>
      <c r="E487" s="977"/>
      <c r="F487" s="977"/>
      <c r="G487" s="977"/>
      <c r="H487" s="497"/>
      <c r="I487" s="557"/>
      <c r="J487" s="557"/>
      <c r="K487" s="70"/>
    </row>
    <row r="488" spans="2:14" x14ac:dyDescent="0.25">
      <c r="B488" s="511" t="s">
        <v>7301</v>
      </c>
      <c r="C488" s="517"/>
      <c r="D488" s="365" t="str">
        <f>D468</f>
        <v xml:space="preserve"> Dezembro 2025</v>
      </c>
      <c r="E488" s="518"/>
      <c r="F488" s="365" t="str">
        <f>F468</f>
        <v>Dezembro 2024</v>
      </c>
      <c r="G488" s="503"/>
      <c r="H488" s="70"/>
      <c r="I488" s="557"/>
      <c r="J488" s="557"/>
      <c r="K488" s="70" t="s">
        <v>7293</v>
      </c>
    </row>
    <row r="489" spans="2:14" x14ac:dyDescent="0.25">
      <c r="B489" s="552" t="s">
        <v>6971</v>
      </c>
      <c r="C489" s="388"/>
      <c r="D489" s="410" t="e">
        <f>ROUND((#REF!+#REF! +#REF!)/1000-D490,0)</f>
        <v>#REF!</v>
      </c>
      <c r="E489" s="409"/>
      <c r="F489" s="409">
        <v>-249618</v>
      </c>
      <c r="G489" s="505"/>
      <c r="H489" s="70"/>
      <c r="I489" s="557"/>
      <c r="J489" s="557"/>
      <c r="K489" s="70"/>
      <c r="M489" s="82" t="s">
        <v>7257</v>
      </c>
    </row>
    <row r="490" spans="2:14" x14ac:dyDescent="0.25">
      <c r="B490" s="552" t="s">
        <v>6968</v>
      </c>
      <c r="C490" s="388"/>
      <c r="D490" s="411">
        <v>-36873</v>
      </c>
      <c r="E490" s="409"/>
      <c r="F490" s="409">
        <v>-20003</v>
      </c>
      <c r="G490" s="505"/>
      <c r="H490" s="70"/>
      <c r="I490" s="557"/>
      <c r="J490" s="557"/>
      <c r="K490" s="70" t="s">
        <v>7275</v>
      </c>
      <c r="M490" s="7">
        <v>217430.39</v>
      </c>
      <c r="N490" s="82" t="s">
        <v>7276</v>
      </c>
    </row>
    <row r="491" spans="2:14" x14ac:dyDescent="0.25">
      <c r="B491" s="552" t="s">
        <v>6969</v>
      </c>
      <c r="C491" s="388"/>
      <c r="D491" s="411">
        <f>ROUND(-13865748.02/1000,0)</f>
        <v>-13866</v>
      </c>
      <c r="E491" s="833"/>
      <c r="F491" s="411"/>
      <c r="G491" s="505"/>
      <c r="H491" s="70"/>
      <c r="I491" s="561"/>
      <c r="J491" s="557"/>
      <c r="K491" s="490" t="s">
        <v>7284</v>
      </c>
      <c r="M491" s="7">
        <v>1953401.1</v>
      </c>
      <c r="N491" s="82" t="s">
        <v>7276</v>
      </c>
    </row>
    <row r="492" spans="2:14" x14ac:dyDescent="0.25">
      <c r="B492" s="552" t="s">
        <v>6970</v>
      </c>
      <c r="C492" s="388"/>
      <c r="D492" s="411">
        <f>ROUND(-28812211.09/1000,0)</f>
        <v>-28812</v>
      </c>
      <c r="E492" s="833"/>
      <c r="F492" s="411">
        <v>-39357</v>
      </c>
      <c r="G492" s="505"/>
      <c r="H492" s="70"/>
      <c r="I492" s="561"/>
      <c r="J492" s="557"/>
      <c r="K492" s="490" t="s">
        <v>7285</v>
      </c>
      <c r="M492" s="7">
        <v>1929006.17</v>
      </c>
      <c r="N492" s="82" t="s">
        <v>7277</v>
      </c>
    </row>
    <row r="493" spans="2:14" x14ac:dyDescent="0.25">
      <c r="B493" s="552" t="s">
        <v>6972</v>
      </c>
      <c r="C493" s="388"/>
      <c r="D493" s="410" t="e">
        <f>ROUND((#REF!+#REF! +#REF!+#REF!)/1000,0)</f>
        <v>#REF!</v>
      </c>
      <c r="E493" s="409"/>
      <c r="F493" s="410">
        <v>-114586</v>
      </c>
      <c r="G493" s="505"/>
      <c r="H493" s="70"/>
      <c r="I493" s="767"/>
      <c r="J493" s="557"/>
      <c r="K493" s="489"/>
      <c r="M493" s="7">
        <v>217430.39</v>
      </c>
      <c r="N493" s="82" t="s">
        <v>7277</v>
      </c>
    </row>
    <row r="494" spans="2:14" x14ac:dyDescent="0.25">
      <c r="B494" s="552" t="s">
        <v>6973</v>
      </c>
      <c r="C494" s="388"/>
      <c r="D494" s="410" t="e">
        <f>ROUND((#REF!+#REF!)/1000,0)</f>
        <v>#REF!</v>
      </c>
      <c r="E494" s="407"/>
      <c r="F494" s="375">
        <v>-7518</v>
      </c>
      <c r="G494" s="505"/>
      <c r="H494" s="70"/>
      <c r="I494" s="557"/>
      <c r="J494" s="557"/>
      <c r="K494" s="489"/>
      <c r="M494" s="7">
        <v>220648.36</v>
      </c>
      <c r="N494" s="82" t="s">
        <v>7278</v>
      </c>
    </row>
    <row r="495" spans="2:14" x14ac:dyDescent="0.25">
      <c r="B495" s="553" t="s">
        <v>6974</v>
      </c>
      <c r="C495" s="388"/>
      <c r="D495" s="411" t="e">
        <f>ROUND((#REF!+#REF!)/1000,0)+1</f>
        <v>#REF!</v>
      </c>
      <c r="E495" s="407"/>
      <c r="F495" s="411">
        <v>18230</v>
      </c>
      <c r="G495" s="505"/>
      <c r="H495" s="70"/>
      <c r="I495" s="561" t="s">
        <v>7232</v>
      </c>
      <c r="J495" s="556"/>
      <c r="K495" s="722"/>
      <c r="M495" s="7">
        <v>2024795.6</v>
      </c>
      <c r="N495" s="82" t="s">
        <v>7278</v>
      </c>
    </row>
    <row r="496" spans="2:14" x14ac:dyDescent="0.25">
      <c r="B496" s="511" t="s">
        <v>4503</v>
      </c>
      <c r="C496" s="519"/>
      <c r="D496" s="570" t="e">
        <f>SUM(D489:D495)</f>
        <v>#REF!</v>
      </c>
      <c r="E496" s="571"/>
      <c r="F496" s="570">
        <f>SUM(F489:F495)+1</f>
        <v>-412851</v>
      </c>
      <c r="G496" s="508"/>
      <c r="H496" s="70"/>
      <c r="I496" s="556" t="e">
        <f>ROUND((#REF!/1000-D496),0)</f>
        <v>#REF!</v>
      </c>
      <c r="J496" s="556" t="e">
        <f>ROUND((#REF!/1000-F496),0)</f>
        <v>#REF!</v>
      </c>
      <c r="K496" s="489"/>
      <c r="L496" s="723"/>
      <c r="M496" s="7">
        <v>221773.67</v>
      </c>
      <c r="N496" s="82" t="s">
        <v>7241</v>
      </c>
    </row>
    <row r="497" spans="2:14" x14ac:dyDescent="0.25">
      <c r="B497" s="977"/>
      <c r="C497" s="977"/>
      <c r="D497" s="977"/>
      <c r="E497" s="977"/>
      <c r="F497" s="977"/>
      <c r="G497" s="977"/>
      <c r="H497" s="497"/>
      <c r="I497" s="557"/>
      <c r="J497" s="557"/>
      <c r="M497" s="7">
        <v>1968031.72</v>
      </c>
      <c r="N497" s="82" t="s">
        <v>7241</v>
      </c>
    </row>
    <row r="498" spans="2:14" x14ac:dyDescent="0.25">
      <c r="B498" s="986" t="e">
        <f>CONCATENATE(#REF!," - RECEITAS / DESPESAS FINANCEIRAS (RESULTADO FINANCEIRO)")</f>
        <v>#REF!</v>
      </c>
      <c r="C498" s="986"/>
      <c r="D498" s="986"/>
      <c r="E498" s="986"/>
      <c r="F498" s="986"/>
      <c r="G498" s="986"/>
      <c r="H498" s="814"/>
      <c r="I498" s="557"/>
      <c r="J498" s="557"/>
      <c r="K498" s="70"/>
      <c r="M498" s="7">
        <v>222838.18</v>
      </c>
      <c r="N498" s="82" t="s">
        <v>7242</v>
      </c>
    </row>
    <row r="499" spans="2:14" ht="42" customHeight="1" x14ac:dyDescent="0.25">
      <c r="B499" s="966" t="s">
        <v>6984</v>
      </c>
      <c r="C499" s="966"/>
      <c r="D499" s="966"/>
      <c r="E499" s="966"/>
      <c r="F499" s="966"/>
      <c r="G499" s="966"/>
      <c r="H499" s="498"/>
      <c r="I499" s="557"/>
      <c r="J499" s="557"/>
      <c r="K499" s="489"/>
      <c r="M499" s="7">
        <v>1995460.66</v>
      </c>
      <c r="N499" s="82" t="s">
        <v>7242</v>
      </c>
    </row>
    <row r="500" spans="2:14" x14ac:dyDescent="0.25">
      <c r="B500" s="977"/>
      <c r="C500" s="977"/>
      <c r="D500" s="977"/>
      <c r="E500" s="977"/>
      <c r="F500" s="977"/>
      <c r="G500" s="977"/>
      <c r="H500" s="497"/>
      <c r="I500" s="557"/>
      <c r="J500" s="557"/>
      <c r="K500" s="489"/>
      <c r="M500" s="7">
        <v>223618.11</v>
      </c>
      <c r="N500" s="82" t="s">
        <v>7243</v>
      </c>
    </row>
    <row r="501" spans="2:14" x14ac:dyDescent="0.25">
      <c r="B501" s="511" t="s">
        <v>6975</v>
      </c>
      <c r="C501" s="517"/>
      <c r="D501" s="365" t="str">
        <f>D488</f>
        <v xml:space="preserve"> Dezembro 2025</v>
      </c>
      <c r="E501" s="518"/>
      <c r="F501" s="365" t="str">
        <f>F488</f>
        <v>Dezembro 2024</v>
      </c>
      <c r="G501" s="503"/>
      <c r="H501" s="70"/>
      <c r="I501" s="557"/>
      <c r="J501" s="557"/>
      <c r="K501" s="70"/>
      <c r="M501" s="7">
        <v>1997865.96</v>
      </c>
      <c r="N501" s="82" t="s">
        <v>7243</v>
      </c>
    </row>
    <row r="502" spans="2:14" x14ac:dyDescent="0.25">
      <c r="B502" s="512" t="s">
        <v>6976</v>
      </c>
      <c r="C502" s="372"/>
      <c r="D502" s="367" t="s">
        <v>6977</v>
      </c>
      <c r="E502" s="367"/>
      <c r="F502" s="367" t="s">
        <v>6977</v>
      </c>
      <c r="G502" s="505"/>
      <c r="H502" s="70"/>
      <c r="I502" s="557"/>
      <c r="J502" s="557"/>
      <c r="K502" s="70"/>
    </row>
    <row r="503" spans="2:14" x14ac:dyDescent="0.25">
      <c r="B503" s="516" t="s">
        <v>6978</v>
      </c>
      <c r="C503" s="372"/>
      <c r="D503" s="413" t="e">
        <f>ROUND(#REF!/1000,0)+283</f>
        <v>#REF!</v>
      </c>
      <c r="E503" s="367"/>
      <c r="F503" s="413">
        <v>1991</v>
      </c>
      <c r="G503" s="505"/>
      <c r="H503" s="70"/>
      <c r="I503" s="561" t="s">
        <v>7344</v>
      </c>
      <c r="J503" s="557"/>
      <c r="K503" s="70"/>
      <c r="M503" s="7">
        <v>224132.43</v>
      </c>
      <c r="N503" s="82" t="s">
        <v>7279</v>
      </c>
    </row>
    <row r="504" spans="2:14" hidden="1" x14ac:dyDescent="0.25">
      <c r="B504" s="516" t="s">
        <v>6979</v>
      </c>
      <c r="C504" s="372"/>
      <c r="D504" s="413"/>
      <c r="E504" s="367"/>
      <c r="F504" s="413">
        <v>0</v>
      </c>
      <c r="G504" s="505"/>
      <c r="H504" s="70"/>
      <c r="I504" s="557"/>
      <c r="J504" s="557"/>
      <c r="K504" s="70"/>
      <c r="M504" s="7">
        <v>2000259.63936945</v>
      </c>
      <c r="N504" s="82" t="s">
        <v>7279</v>
      </c>
    </row>
    <row r="505" spans="2:14" x14ac:dyDescent="0.25">
      <c r="B505" s="554" t="s">
        <v>6980</v>
      </c>
      <c r="C505" s="372"/>
      <c r="D505" s="415" t="e">
        <f>SUM(D503:D504)</f>
        <v>#REF!</v>
      </c>
      <c r="E505" s="367"/>
      <c r="F505" s="414">
        <f>SUM(F503:F504)</f>
        <v>1991</v>
      </c>
      <c r="G505" s="505"/>
      <c r="H505" s="70"/>
      <c r="I505" s="557"/>
      <c r="J505" s="557"/>
      <c r="K505" s="70"/>
    </row>
    <row r="506" spans="2:14" x14ac:dyDescent="0.25">
      <c r="B506" s="512" t="s">
        <v>6981</v>
      </c>
      <c r="C506" s="372"/>
      <c r="D506" s="367"/>
      <c r="E506" s="367"/>
      <c r="F506" s="367"/>
      <c r="G506" s="505"/>
      <c r="H506" s="70"/>
      <c r="I506" s="557"/>
      <c r="J506" s="557"/>
      <c r="K506" s="70"/>
      <c r="M506" s="7">
        <v>224603.11</v>
      </c>
      <c r="N506" s="82" t="s">
        <v>7280</v>
      </c>
    </row>
    <row r="507" spans="2:14" ht="15.75" hidden="1" customHeight="1" x14ac:dyDescent="0.25">
      <c r="B507" s="516" t="s">
        <v>6978</v>
      </c>
      <c r="C507" s="372"/>
      <c r="D507" s="413">
        <v>0</v>
      </c>
      <c r="E507" s="93"/>
      <c r="F507" s="413">
        <v>0</v>
      </c>
      <c r="G507" s="505"/>
      <c r="H507" s="70"/>
      <c r="I507" s="557"/>
      <c r="J507" s="557"/>
      <c r="K507" s="70"/>
      <c r="M507" s="7">
        <v>2006057.3120157691</v>
      </c>
      <c r="N507" s="82" t="s">
        <v>7280</v>
      </c>
    </row>
    <row r="508" spans="2:14" x14ac:dyDescent="0.25">
      <c r="B508" s="516" t="s">
        <v>6978</v>
      </c>
      <c r="C508" s="372"/>
      <c r="D508" s="413"/>
      <c r="E508" s="93"/>
      <c r="F508" s="413">
        <v>-38</v>
      </c>
      <c r="G508" s="505"/>
      <c r="H508" s="70"/>
      <c r="I508" s="557"/>
      <c r="J508" s="557"/>
      <c r="K508" s="70"/>
      <c r="M508" s="7">
        <v>224131.45</v>
      </c>
      <c r="N508" s="82" t="s">
        <v>7281</v>
      </c>
    </row>
    <row r="509" spans="2:14" x14ac:dyDescent="0.25">
      <c r="B509" s="516" t="s">
        <v>6979</v>
      </c>
      <c r="C509" s="372"/>
      <c r="D509" s="413" t="e">
        <f>ROUND((#REF!+#REF!+#REF!+#REF!+#REF!+#REF!+#REF!+#REF!+#REF!+#REF!+#REF!+#REF!+#REF!+#REF!+#REF!+#REF!+#REF!+#REF!)/1000,0)</f>
        <v>#REF!</v>
      </c>
      <c r="E509" s="93"/>
      <c r="F509" s="413">
        <v>-2509</v>
      </c>
      <c r="G509" s="505"/>
      <c r="H509" s="70"/>
      <c r="I509" s="557"/>
      <c r="J509" s="557"/>
      <c r="K509" s="70"/>
      <c r="M509" s="7">
        <v>1985442.0951695663</v>
      </c>
      <c r="N509" s="82" t="s">
        <v>7281</v>
      </c>
    </row>
    <row r="510" spans="2:14" x14ac:dyDescent="0.25">
      <c r="B510" s="554" t="s">
        <v>6982</v>
      </c>
      <c r="C510" s="372"/>
      <c r="D510" s="415" t="e">
        <f>SUM(D507:D509)</f>
        <v>#REF!</v>
      </c>
      <c r="E510" s="367"/>
      <c r="F510" s="415">
        <f>SUM(F507:F509)</f>
        <v>-2547</v>
      </c>
      <c r="G510" s="505"/>
      <c r="H510" s="70"/>
      <c r="I510" s="557"/>
      <c r="J510" s="557"/>
      <c r="K510" s="70"/>
      <c r="M510" s="7">
        <v>225296.93</v>
      </c>
      <c r="N510" s="82" t="s">
        <v>7313</v>
      </c>
    </row>
    <row r="511" spans="2:14" x14ac:dyDescent="0.25">
      <c r="B511" s="516"/>
      <c r="C511" s="372"/>
      <c r="D511" s="93"/>
      <c r="E511" s="93"/>
      <c r="F511" s="93"/>
      <c r="G511" s="505"/>
      <c r="H511" s="70"/>
      <c r="I511" s="557"/>
      <c r="J511" s="557"/>
      <c r="K511" s="70"/>
      <c r="M511" s="7">
        <v>2033466.93</v>
      </c>
      <c r="N511" s="82" t="s">
        <v>7313</v>
      </c>
    </row>
    <row r="512" spans="2:14" x14ac:dyDescent="0.25">
      <c r="B512" s="511" t="s">
        <v>6983</v>
      </c>
      <c r="C512" s="519"/>
      <c r="D512" s="570" t="e">
        <f>D505+D510</f>
        <v>#REF!</v>
      </c>
      <c r="E512" s="571"/>
      <c r="F512" s="570">
        <f>F505+F510</f>
        <v>-556</v>
      </c>
      <c r="G512" s="508"/>
      <c r="H512" s="70"/>
      <c r="I512" s="556" t="e">
        <f>D512-'2. DRE (mil)'!H26</f>
        <v>#REF!</v>
      </c>
      <c r="J512" s="556">
        <f>F512-'2. DRE (mil)'!J26</f>
        <v>0</v>
      </c>
      <c r="K512" s="70"/>
      <c r="M512" s="7">
        <v>225364.52</v>
      </c>
      <c r="N512" s="82" t="s">
        <v>7314</v>
      </c>
    </row>
    <row r="513" spans="2:15" x14ac:dyDescent="0.25">
      <c r="B513" s="977"/>
      <c r="C513" s="977"/>
      <c r="D513" s="977"/>
      <c r="E513" s="977"/>
      <c r="F513" s="977"/>
      <c r="G513" s="977"/>
      <c r="H513" s="497"/>
      <c r="I513" s="70"/>
      <c r="J513" s="70"/>
      <c r="K513" s="70"/>
      <c r="M513" s="7">
        <v>1999801.21</v>
      </c>
      <c r="N513" s="82" t="s">
        <v>7314</v>
      </c>
    </row>
    <row r="514" spans="2:15" x14ac:dyDescent="0.25">
      <c r="B514" s="986" t="e">
        <f>CONCATENATE(#REF!+1," - BENEFÍCIO PÓS EMPREGO")</f>
        <v>#REF!</v>
      </c>
      <c r="C514" s="986"/>
      <c r="D514" s="986"/>
      <c r="E514" s="986"/>
      <c r="F514" s="986"/>
      <c r="G514" s="986"/>
      <c r="H514" s="814"/>
      <c r="I514" s="70"/>
      <c r="J514" s="70"/>
      <c r="K514" s="70"/>
      <c r="M514" s="7">
        <v>450864.26</v>
      </c>
    </row>
    <row r="515" spans="2:15" ht="97.5" customHeight="1" x14ac:dyDescent="0.25">
      <c r="B515" s="966" t="s">
        <v>7200</v>
      </c>
      <c r="C515" s="966"/>
      <c r="D515" s="966"/>
      <c r="E515" s="966"/>
      <c r="F515" s="966"/>
      <c r="G515" s="966"/>
      <c r="H515" s="498"/>
      <c r="I515" s="70"/>
      <c r="J515" s="70"/>
      <c r="K515" s="70"/>
      <c r="M515" s="7">
        <v>4020490.89</v>
      </c>
    </row>
    <row r="516" spans="2:15" ht="12" customHeight="1" x14ac:dyDescent="0.2">
      <c r="B516" s="966"/>
      <c r="C516" s="966"/>
      <c r="D516" s="966"/>
      <c r="E516" s="966"/>
      <c r="F516" s="966"/>
      <c r="G516" s="966"/>
      <c r="H516" s="498"/>
      <c r="I516" s="484"/>
      <c r="J516" s="484"/>
      <c r="K516" s="484"/>
    </row>
    <row r="517" spans="2:15" ht="84.75" customHeight="1" x14ac:dyDescent="0.25">
      <c r="B517" s="966" t="s">
        <v>7201</v>
      </c>
      <c r="C517" s="966"/>
      <c r="D517" s="966"/>
      <c r="E517" s="966"/>
      <c r="F517" s="966"/>
      <c r="G517" s="966"/>
      <c r="H517" s="498"/>
      <c r="I517" s="70"/>
      <c r="J517" s="70"/>
      <c r="K517" s="70"/>
      <c r="M517" s="787">
        <f>SUM(M490:M515)</f>
        <v>28812211.086554784</v>
      </c>
      <c r="O517" s="84"/>
    </row>
    <row r="518" spans="2:15" ht="64.5" customHeight="1" x14ac:dyDescent="0.25">
      <c r="B518" s="966" t="s">
        <v>7202</v>
      </c>
      <c r="C518" s="966"/>
      <c r="D518" s="966"/>
      <c r="E518" s="966"/>
      <c r="F518" s="966"/>
      <c r="G518" s="966"/>
      <c r="H518" s="498"/>
      <c r="I518" s="70"/>
      <c r="J518" s="70"/>
      <c r="K518" s="70"/>
      <c r="M518" s="788">
        <f>M519-M517</f>
        <v>13865748.023445215</v>
      </c>
      <c r="N518" s="84"/>
      <c r="O518" s="84" t="s">
        <v>7282</v>
      </c>
    </row>
    <row r="519" spans="2:15" ht="12.75" customHeight="1" x14ac:dyDescent="0.25">
      <c r="B519" s="966"/>
      <c r="C519" s="966"/>
      <c r="D519" s="966"/>
      <c r="E519" s="966"/>
      <c r="F519" s="966"/>
      <c r="G519" s="966"/>
      <c r="H519" s="498"/>
      <c r="I519" s="70"/>
      <c r="J519" s="70"/>
      <c r="K519" s="70"/>
      <c r="M519" s="787">
        <v>42677959.109999999</v>
      </c>
      <c r="O519" s="84" t="s">
        <v>7283</v>
      </c>
    </row>
    <row r="520" spans="2:15" ht="35.25" customHeight="1" x14ac:dyDescent="0.25">
      <c r="B520" s="966" t="s">
        <v>6988</v>
      </c>
      <c r="C520" s="966"/>
      <c r="D520" s="966"/>
      <c r="E520" s="966"/>
      <c r="F520" s="966"/>
      <c r="G520" s="966"/>
      <c r="H520" s="498"/>
      <c r="I520" s="70"/>
      <c r="J520" s="70"/>
      <c r="K520" s="70"/>
    </row>
    <row r="521" spans="2:15" x14ac:dyDescent="0.25">
      <c r="B521" s="966"/>
      <c r="C521" s="966"/>
      <c r="D521" s="966"/>
      <c r="E521" s="966"/>
      <c r="F521" s="966"/>
      <c r="G521" s="966"/>
      <c r="H521" s="498"/>
      <c r="I521" s="70"/>
      <c r="J521" s="70"/>
      <c r="K521" s="70"/>
    </row>
    <row r="522" spans="2:15" x14ac:dyDescent="0.25">
      <c r="B522" s="965" t="e">
        <f>CONCATENATE(#REF!+1,".1 - PLANOS DE BENEFÍCIOS")</f>
        <v>#REF!</v>
      </c>
      <c r="C522" s="965"/>
      <c r="D522" s="965"/>
      <c r="E522" s="965"/>
      <c r="F522" s="965"/>
      <c r="G522" s="965"/>
      <c r="H522" s="812"/>
      <c r="I522" s="70"/>
      <c r="J522" s="70"/>
      <c r="K522" s="70"/>
    </row>
    <row r="523" spans="2:15" x14ac:dyDescent="0.25">
      <c r="B523" s="966" t="s">
        <v>6989</v>
      </c>
      <c r="C523" s="966"/>
      <c r="D523" s="966"/>
      <c r="E523" s="966"/>
      <c r="F523" s="966"/>
      <c r="G523" s="966"/>
      <c r="H523" s="498"/>
      <c r="I523" s="70"/>
      <c r="J523" s="70"/>
      <c r="K523" s="70"/>
    </row>
    <row r="524" spans="2:15" x14ac:dyDescent="0.25">
      <c r="B524" s="966"/>
      <c r="C524" s="966"/>
      <c r="D524" s="966"/>
      <c r="E524" s="966"/>
      <c r="F524" s="966"/>
      <c r="G524" s="966"/>
      <c r="H524" s="498"/>
      <c r="I524" s="70"/>
      <c r="J524" s="70"/>
      <c r="K524" s="70"/>
    </row>
    <row r="525" spans="2:15" x14ac:dyDescent="0.25">
      <c r="B525" s="965" t="e">
        <f>CONCATENATE(#REF!+1,".1.1 - PLANO BÁSICO DE BENEFÍCIOS - PBB (PLANO BD-PBB OU PBB)")</f>
        <v>#REF!</v>
      </c>
      <c r="C525" s="965"/>
      <c r="D525" s="965"/>
      <c r="E525" s="965"/>
      <c r="F525" s="965"/>
      <c r="G525" s="965"/>
      <c r="H525" s="812"/>
      <c r="I525" s="70"/>
      <c r="J525" s="70"/>
      <c r="K525" s="70"/>
    </row>
    <row r="526" spans="2:15" ht="60.75" customHeight="1" x14ac:dyDescent="0.25">
      <c r="B526" s="966" t="s">
        <v>6990</v>
      </c>
      <c r="C526" s="966"/>
      <c r="D526" s="966"/>
      <c r="E526" s="966"/>
      <c r="F526" s="966"/>
      <c r="G526" s="966"/>
      <c r="H526" s="498"/>
      <c r="I526" s="70"/>
      <c r="J526" s="70"/>
      <c r="K526" s="70"/>
    </row>
    <row r="527" spans="2:15" ht="69" customHeight="1" x14ac:dyDescent="0.25">
      <c r="B527" s="966" t="s">
        <v>6991</v>
      </c>
      <c r="C527" s="966"/>
      <c r="D527" s="966"/>
      <c r="E527" s="966"/>
      <c r="F527" s="966"/>
      <c r="G527" s="966"/>
      <c r="H527" s="498"/>
      <c r="I527" s="70"/>
      <c r="J527" s="70"/>
      <c r="K527" s="70"/>
    </row>
    <row r="528" spans="2:15" x14ac:dyDescent="0.25">
      <c r="B528" s="966"/>
      <c r="C528" s="966"/>
      <c r="D528" s="966"/>
      <c r="E528" s="966"/>
      <c r="F528" s="966"/>
      <c r="G528" s="966"/>
      <c r="H528" s="498"/>
      <c r="I528" s="70"/>
      <c r="J528" s="70"/>
      <c r="K528" s="70"/>
    </row>
    <row r="529" spans="2:25" ht="83.25" customHeight="1" x14ac:dyDescent="0.25">
      <c r="B529" s="966" t="s">
        <v>7203</v>
      </c>
      <c r="C529" s="966"/>
      <c r="D529" s="966"/>
      <c r="E529" s="966"/>
      <c r="F529" s="966"/>
      <c r="G529" s="966"/>
      <c r="H529" s="498"/>
      <c r="I529" s="70"/>
      <c r="J529" s="70"/>
      <c r="K529" s="70"/>
    </row>
    <row r="530" spans="2:25" ht="10.5" customHeight="1" x14ac:dyDescent="0.25">
      <c r="B530" s="966"/>
      <c r="C530" s="966"/>
      <c r="D530" s="966"/>
      <c r="E530" s="966"/>
      <c r="F530" s="966"/>
      <c r="G530" s="966"/>
      <c r="H530" s="498"/>
      <c r="I530" s="70"/>
      <c r="J530" s="70"/>
      <c r="K530" s="70"/>
    </row>
    <row r="531" spans="2:25" ht="54" customHeight="1" x14ac:dyDescent="0.25">
      <c r="B531" s="966" t="s">
        <v>6993</v>
      </c>
      <c r="C531" s="966"/>
      <c r="D531" s="966"/>
      <c r="E531" s="966"/>
      <c r="F531" s="966"/>
      <c r="G531" s="966"/>
      <c r="H531" s="498"/>
      <c r="I531" s="70"/>
      <c r="J531" s="70"/>
      <c r="K531" s="70"/>
    </row>
    <row r="532" spans="2:25" ht="8.25" customHeight="1" x14ac:dyDescent="0.25">
      <c r="B532" s="966"/>
      <c r="C532" s="966"/>
      <c r="D532" s="966"/>
      <c r="E532" s="966"/>
      <c r="F532" s="966"/>
      <c r="G532" s="966"/>
      <c r="H532" s="498"/>
      <c r="I532" s="70"/>
      <c r="J532" s="70"/>
      <c r="K532" s="70"/>
    </row>
    <row r="533" spans="2:25" ht="18" customHeight="1" x14ac:dyDescent="0.25">
      <c r="B533" s="964" t="s">
        <v>6994</v>
      </c>
      <c r="C533" s="964"/>
      <c r="D533" s="964"/>
      <c r="E533" s="964"/>
      <c r="F533" s="964"/>
      <c r="G533" s="964"/>
      <c r="H533" s="763"/>
      <c r="I533" s="70"/>
      <c r="J533" s="70"/>
      <c r="K533" s="70"/>
    </row>
    <row r="534" spans="2:25" ht="9" customHeight="1" x14ac:dyDescent="0.25">
      <c r="B534" s="964"/>
      <c r="C534" s="964"/>
      <c r="D534" s="964"/>
      <c r="E534" s="964"/>
      <c r="F534" s="964"/>
      <c r="G534" s="964"/>
      <c r="H534" s="763"/>
      <c r="I534" s="70"/>
      <c r="J534" s="70"/>
      <c r="K534" s="70"/>
    </row>
    <row r="535" spans="2:25" x14ac:dyDescent="0.25">
      <c r="B535" s="964"/>
      <c r="C535" s="964"/>
      <c r="D535" s="964"/>
      <c r="E535" s="964"/>
      <c r="F535" s="964"/>
      <c r="G535" s="964"/>
      <c r="H535" s="763"/>
      <c r="I535" s="70"/>
      <c r="J535" s="70"/>
      <c r="K535" s="70"/>
      <c r="Q535" s="511" t="s">
        <v>6995</v>
      </c>
      <c r="R535" s="845"/>
      <c r="S535" s="980" t="s">
        <v>7000</v>
      </c>
      <c r="T535" s="980"/>
      <c r="U535" s="980"/>
      <c r="V535" s="846"/>
      <c r="W535" s="980" t="s">
        <v>6996</v>
      </c>
      <c r="X535" s="980"/>
      <c r="Y535" s="994"/>
    </row>
    <row r="536" spans="2:25" x14ac:dyDescent="0.25">
      <c r="B536" s="964"/>
      <c r="C536" s="964"/>
      <c r="D536" s="964"/>
      <c r="E536" s="964"/>
      <c r="F536" s="964"/>
      <c r="G536" s="964"/>
      <c r="H536" s="763"/>
      <c r="I536" s="70"/>
      <c r="J536" s="70"/>
      <c r="K536" s="70"/>
      <c r="Q536" s="554"/>
      <c r="R536" s="380"/>
      <c r="S536" s="417" t="str">
        <f>D501</f>
        <v xml:space="preserve"> Dezembro 2025</v>
      </c>
      <c r="T536" s="381"/>
      <c r="U536" s="417" t="str">
        <f>F501</f>
        <v>Dezembro 2024</v>
      </c>
      <c r="V536" s="382"/>
      <c r="W536" s="418" t="str">
        <f>S536</f>
        <v xml:space="preserve"> Dezembro 2025</v>
      </c>
      <c r="X536" s="381"/>
      <c r="Y536" s="861" t="str">
        <f>U536</f>
        <v>Dezembro 2024</v>
      </c>
    </row>
    <row r="537" spans="2:25" x14ac:dyDescent="0.25">
      <c r="B537" s="964"/>
      <c r="C537" s="964"/>
      <c r="D537" s="964"/>
      <c r="E537" s="964"/>
      <c r="F537" s="964"/>
      <c r="G537" s="964"/>
      <c r="H537" s="763"/>
      <c r="I537" s="70"/>
      <c r="J537" s="70"/>
      <c r="K537" s="70"/>
      <c r="Q537" s="516" t="s">
        <v>6828</v>
      </c>
      <c r="R537" s="380"/>
      <c r="S537" s="673">
        <v>2474</v>
      </c>
      <c r="T537" s="747"/>
      <c r="U537" s="673">
        <v>2578</v>
      </c>
      <c r="V537" s="862"/>
      <c r="W537" s="673">
        <v>525</v>
      </c>
      <c r="X537" s="747"/>
      <c r="Y537" s="863">
        <v>538</v>
      </c>
    </row>
    <row r="538" spans="2:25" x14ac:dyDescent="0.25">
      <c r="B538" s="964"/>
      <c r="C538" s="964"/>
      <c r="D538" s="964"/>
      <c r="E538" s="964"/>
      <c r="F538" s="964"/>
      <c r="G538" s="964"/>
      <c r="H538" s="763"/>
      <c r="I538" s="70"/>
      <c r="J538" s="70"/>
      <c r="K538" s="70"/>
      <c r="Q538" s="516" t="s">
        <v>6997</v>
      </c>
      <c r="R538" s="380"/>
      <c r="S538" s="673">
        <v>1647</v>
      </c>
      <c r="T538" s="747"/>
      <c r="U538" s="673">
        <v>1607</v>
      </c>
      <c r="V538" s="862"/>
      <c r="W538" s="673">
        <v>394</v>
      </c>
      <c r="X538" s="747"/>
      <c r="Y538" s="863">
        <v>391</v>
      </c>
    </row>
    <row r="539" spans="2:25" x14ac:dyDescent="0.25">
      <c r="B539" s="964"/>
      <c r="C539" s="964"/>
      <c r="D539" s="964"/>
      <c r="E539" s="964"/>
      <c r="F539" s="964"/>
      <c r="G539" s="964"/>
      <c r="H539" s="763"/>
      <c r="I539" s="70"/>
      <c r="J539" s="70"/>
      <c r="K539" s="70"/>
      <c r="Q539" s="516" t="s">
        <v>6998</v>
      </c>
      <c r="R539" s="380"/>
      <c r="S539" s="673">
        <v>445</v>
      </c>
      <c r="T539" s="747"/>
      <c r="U539" s="673">
        <v>435</v>
      </c>
      <c r="V539" s="862"/>
      <c r="W539" s="673">
        <v>77</v>
      </c>
      <c r="X539" s="747"/>
      <c r="Y539" s="863">
        <v>70</v>
      </c>
    </row>
    <row r="540" spans="2:25" x14ac:dyDescent="0.25">
      <c r="B540" s="964"/>
      <c r="C540" s="964"/>
      <c r="D540" s="964"/>
      <c r="E540" s="964"/>
      <c r="F540" s="964"/>
      <c r="G540" s="964"/>
      <c r="H540" s="763"/>
      <c r="I540" s="70"/>
      <c r="J540" s="70"/>
      <c r="K540" s="70"/>
      <c r="Q540" s="511" t="s">
        <v>4503</v>
      </c>
      <c r="R540" s="852"/>
      <c r="S540" s="864">
        <f>SUM(S537:S539)</f>
        <v>4566</v>
      </c>
      <c r="T540" s="854"/>
      <c r="U540" s="864">
        <f>SUM(U537:U539)</f>
        <v>4620</v>
      </c>
      <c r="V540" s="855"/>
      <c r="W540" s="864">
        <f>SUM(W537:W539)</f>
        <v>996</v>
      </c>
      <c r="X540" s="854"/>
      <c r="Y540" s="865">
        <f>SUM(Y537:Y539)</f>
        <v>999</v>
      </c>
    </row>
    <row r="541" spans="2:25" x14ac:dyDescent="0.25">
      <c r="B541" s="964"/>
      <c r="C541" s="964"/>
      <c r="D541" s="964"/>
      <c r="E541" s="964"/>
      <c r="F541" s="964"/>
      <c r="G541" s="964"/>
      <c r="H541" s="763"/>
      <c r="I541" s="70"/>
      <c r="J541" s="70"/>
      <c r="K541" s="70"/>
      <c r="Q541" s="416" t="s">
        <v>6999</v>
      </c>
      <c r="R541" s="378"/>
      <c r="S541" s="378"/>
      <c r="T541" s="378"/>
      <c r="U541" s="378"/>
      <c r="V541" s="378"/>
      <c r="W541" s="378"/>
      <c r="X541" s="378"/>
      <c r="Y541" s="378"/>
    </row>
    <row r="542" spans="2:25" x14ac:dyDescent="0.25">
      <c r="B542" s="964"/>
      <c r="C542" s="964"/>
      <c r="D542" s="964"/>
      <c r="E542" s="964"/>
      <c r="F542" s="964"/>
      <c r="G542" s="964"/>
      <c r="H542" s="763"/>
      <c r="I542" s="70"/>
      <c r="J542" s="70"/>
      <c r="K542" s="70"/>
    </row>
    <row r="543" spans="2:25" x14ac:dyDescent="0.25">
      <c r="B543" s="965" t="e">
        <f>CONCATENATE(#REF!+1,".1.2 - PLANO CD-NUCLEP (CD-NUCLEP)")</f>
        <v>#REF!</v>
      </c>
      <c r="C543" s="965"/>
      <c r="D543" s="965"/>
      <c r="E543" s="965"/>
      <c r="F543" s="965"/>
      <c r="G543" s="965"/>
      <c r="H543" s="812"/>
      <c r="I543" s="70"/>
      <c r="J543" s="70"/>
      <c r="K543" s="70"/>
    </row>
    <row r="544" spans="2:25" ht="38.25" customHeight="1" x14ac:dyDescent="0.25">
      <c r="B544" s="966" t="s">
        <v>7001</v>
      </c>
      <c r="C544" s="966"/>
      <c r="D544" s="966"/>
      <c r="E544" s="966"/>
      <c r="F544" s="966"/>
      <c r="G544" s="966"/>
      <c r="H544" s="498"/>
      <c r="I544" s="70"/>
      <c r="J544" s="70"/>
      <c r="K544" s="70"/>
    </row>
    <row r="545" spans="2:17" x14ac:dyDescent="0.25">
      <c r="B545" s="966"/>
      <c r="C545" s="966"/>
      <c r="D545" s="966"/>
      <c r="E545" s="966"/>
      <c r="F545" s="966"/>
      <c r="G545" s="966"/>
      <c r="H545" s="498"/>
      <c r="I545" s="70"/>
      <c r="J545" s="70"/>
      <c r="K545" s="70"/>
      <c r="Q545" s="82" t="s">
        <v>7356</v>
      </c>
    </row>
    <row r="546" spans="2:17" ht="34.5" customHeight="1" x14ac:dyDescent="0.25">
      <c r="B546" s="966" t="s">
        <v>7002</v>
      </c>
      <c r="C546" s="966"/>
      <c r="D546" s="966"/>
      <c r="E546" s="966"/>
      <c r="F546" s="966"/>
      <c r="G546" s="966"/>
      <c r="H546" s="498"/>
      <c r="I546" s="70"/>
      <c r="J546" s="70"/>
      <c r="K546" s="70"/>
    </row>
    <row r="547" spans="2:17" x14ac:dyDescent="0.25">
      <c r="B547" s="966"/>
      <c r="C547" s="966"/>
      <c r="D547" s="966"/>
      <c r="E547" s="966"/>
      <c r="F547" s="966"/>
      <c r="G547" s="966"/>
      <c r="H547" s="498"/>
      <c r="I547" s="70"/>
      <c r="J547" s="70"/>
      <c r="K547" s="70"/>
    </row>
    <row r="548" spans="2:17" ht="83.25" customHeight="1" x14ac:dyDescent="0.25">
      <c r="B548" s="966" t="s">
        <v>7204</v>
      </c>
      <c r="C548" s="966"/>
      <c r="D548" s="966"/>
      <c r="E548" s="966"/>
      <c r="F548" s="966"/>
      <c r="G548" s="966"/>
      <c r="H548" s="498"/>
      <c r="I548" s="70"/>
      <c r="J548" s="70"/>
      <c r="K548" s="70"/>
    </row>
    <row r="549" spans="2:17" x14ac:dyDescent="0.25">
      <c r="B549" s="966"/>
      <c r="C549" s="966"/>
      <c r="D549" s="966"/>
      <c r="E549" s="966"/>
      <c r="F549" s="966"/>
      <c r="G549" s="966"/>
      <c r="H549" s="498"/>
      <c r="I549" s="70"/>
      <c r="J549" s="70"/>
      <c r="K549" s="70"/>
    </row>
    <row r="550" spans="2:17" x14ac:dyDescent="0.25">
      <c r="B550" s="993" t="s">
        <v>7287</v>
      </c>
      <c r="C550" s="993"/>
      <c r="D550" s="993"/>
      <c r="E550" s="993"/>
      <c r="F550" s="993"/>
      <c r="G550" s="993"/>
      <c r="H550" s="815"/>
      <c r="I550" s="70"/>
      <c r="J550" s="70"/>
      <c r="K550" s="70"/>
    </row>
    <row r="551" spans="2:17" x14ac:dyDescent="0.25">
      <c r="B551" s="966"/>
      <c r="C551" s="966"/>
      <c r="D551" s="966"/>
      <c r="E551" s="966"/>
      <c r="F551" s="966"/>
      <c r="G551" s="966"/>
      <c r="H551" s="498"/>
      <c r="I551" s="70"/>
      <c r="J551" s="70"/>
      <c r="K551" s="70"/>
    </row>
    <row r="552" spans="2:17" x14ac:dyDescent="0.25">
      <c r="B552" s="937" t="s">
        <v>7356</v>
      </c>
      <c r="C552" s="517"/>
      <c r="D552" s="936" t="str">
        <f>D501</f>
        <v xml:space="preserve"> Dezembro 2025</v>
      </c>
      <c r="E552" s="518"/>
      <c r="F552" s="936" t="str">
        <f>F501</f>
        <v>Dezembro 2024</v>
      </c>
      <c r="G552" s="70"/>
      <c r="H552" s="498"/>
      <c r="I552" s="70"/>
      <c r="J552" s="70"/>
      <c r="K552" s="70"/>
    </row>
    <row r="553" spans="2:17" x14ac:dyDescent="0.25">
      <c r="B553" s="938" t="s">
        <v>7357</v>
      </c>
      <c r="C553" s="372"/>
      <c r="D553" s="367" t="s">
        <v>6977</v>
      </c>
      <c r="E553" s="367"/>
      <c r="F553" s="367" t="s">
        <v>6977</v>
      </c>
      <c r="G553" s="70"/>
      <c r="H553" s="498"/>
      <c r="I553" s="70"/>
      <c r="J553" s="70"/>
      <c r="K553" s="70"/>
    </row>
    <row r="554" spans="2:17" x14ac:dyDescent="0.25">
      <c r="B554" s="939" t="s">
        <v>7358</v>
      </c>
      <c r="C554" s="372"/>
      <c r="D554" s="413"/>
      <c r="E554" s="367"/>
      <c r="F554" s="413"/>
      <c r="G554" s="70"/>
      <c r="H554" s="498"/>
      <c r="I554" s="70"/>
      <c r="J554" s="70"/>
      <c r="K554" s="70"/>
    </row>
    <row r="555" spans="2:17" x14ac:dyDescent="0.25">
      <c r="B555" s="91" t="s">
        <v>7365</v>
      </c>
      <c r="C555" s="372"/>
      <c r="D555" s="413">
        <v>517</v>
      </c>
      <c r="E555" s="367"/>
      <c r="F555" s="413">
        <v>525</v>
      </c>
      <c r="G555" s="70"/>
      <c r="H555" s="498"/>
      <c r="I555" s="70"/>
      <c r="J555" s="70"/>
      <c r="K555" s="70"/>
    </row>
    <row r="556" spans="2:17" x14ac:dyDescent="0.25">
      <c r="B556" s="91" t="s">
        <v>7359</v>
      </c>
      <c r="C556" s="372"/>
      <c r="D556" s="940">
        <v>50.8</v>
      </c>
      <c r="E556" s="367"/>
      <c r="F556" s="940">
        <v>42.38</v>
      </c>
      <c r="G556" s="70"/>
      <c r="H556" s="498"/>
      <c r="I556" s="70"/>
      <c r="J556" s="70"/>
      <c r="K556" s="70"/>
    </row>
    <row r="557" spans="2:17" x14ac:dyDescent="0.25">
      <c r="B557" s="91" t="s">
        <v>7360</v>
      </c>
      <c r="C557" s="372"/>
      <c r="D557" s="940">
        <v>16.87</v>
      </c>
      <c r="E557" s="367"/>
      <c r="F557" s="940">
        <v>16.62</v>
      </c>
      <c r="G557" s="70"/>
      <c r="H557" s="498"/>
      <c r="I557" s="70"/>
      <c r="J557" s="70"/>
      <c r="K557" s="70"/>
    </row>
    <row r="558" spans="2:17" x14ac:dyDescent="0.25">
      <c r="B558" s="91" t="s">
        <v>7361</v>
      </c>
      <c r="C558" s="372"/>
      <c r="D558" s="946"/>
      <c r="E558" s="367"/>
      <c r="F558" s="940">
        <v>58.14</v>
      </c>
      <c r="G558" s="70"/>
      <c r="H558" s="498"/>
      <c r="I558" s="70"/>
      <c r="J558" s="70"/>
      <c r="K558" s="70"/>
    </row>
    <row r="559" spans="2:17" x14ac:dyDescent="0.25">
      <c r="B559" s="91" t="s">
        <v>7362</v>
      </c>
      <c r="C559" s="372"/>
      <c r="D559" s="946"/>
      <c r="E559" s="367"/>
      <c r="F559" s="940">
        <v>14625.58</v>
      </c>
      <c r="G559" s="70"/>
      <c r="H559" s="498"/>
      <c r="I559" s="70"/>
      <c r="J559" s="70"/>
      <c r="K559" s="70"/>
      <c r="L559" s="82"/>
    </row>
    <row r="560" spans="2:17" x14ac:dyDescent="0.25">
      <c r="B560" s="939"/>
      <c r="C560" s="372"/>
      <c r="D560" s="413"/>
      <c r="E560" s="367"/>
      <c r="F560" s="413"/>
      <c r="G560" s="70"/>
      <c r="H560" s="498"/>
      <c r="I560" s="70"/>
      <c r="J560" s="70"/>
      <c r="K560" s="70"/>
    </row>
    <row r="561" spans="2:11" x14ac:dyDescent="0.25">
      <c r="B561" s="939" t="s">
        <v>7363</v>
      </c>
      <c r="C561" s="372"/>
      <c r="D561" s="413"/>
      <c r="E561" s="367"/>
      <c r="F561" s="413"/>
      <c r="G561" s="70"/>
      <c r="H561" s="498"/>
      <c r="I561" s="70"/>
      <c r="J561" s="70"/>
      <c r="K561" s="70"/>
    </row>
    <row r="562" spans="2:11" x14ac:dyDescent="0.25">
      <c r="B562" s="91" t="s">
        <v>7366</v>
      </c>
      <c r="C562" s="372"/>
      <c r="D562" s="413">
        <v>402</v>
      </c>
      <c r="E562" s="367"/>
      <c r="F562" s="413">
        <v>404</v>
      </c>
      <c r="G562" s="70"/>
      <c r="H562" s="498"/>
      <c r="I562" s="70"/>
      <c r="J562" s="70"/>
      <c r="K562" s="70"/>
    </row>
    <row r="563" spans="2:11" x14ac:dyDescent="0.25">
      <c r="B563" s="91" t="s">
        <v>7367</v>
      </c>
      <c r="C563" s="372"/>
      <c r="D563" s="940">
        <v>66.8</v>
      </c>
      <c r="E563" s="367"/>
      <c r="F563" s="940">
        <v>65.73</v>
      </c>
      <c r="G563" s="70"/>
      <c r="H563" s="498"/>
      <c r="I563" s="70"/>
      <c r="J563" s="70"/>
      <c r="K563" s="70"/>
    </row>
    <row r="564" spans="2:11" x14ac:dyDescent="0.25">
      <c r="B564" s="91" t="s">
        <v>7368</v>
      </c>
      <c r="C564" s="372"/>
      <c r="D564" s="940">
        <v>11678</v>
      </c>
      <c r="E564" s="367"/>
      <c r="F564" s="940">
        <v>10699.09</v>
      </c>
      <c r="G564" s="70"/>
      <c r="H564" s="498"/>
      <c r="I564" s="70"/>
      <c r="J564" s="70"/>
      <c r="K564" s="70"/>
    </row>
    <row r="565" spans="2:11" x14ac:dyDescent="0.25">
      <c r="B565" s="91"/>
      <c r="C565" s="372"/>
      <c r="D565" s="413"/>
      <c r="E565" s="367"/>
      <c r="F565" s="413"/>
      <c r="G565" s="70"/>
      <c r="H565" s="498"/>
      <c r="I565" s="70"/>
      <c r="J565" s="70"/>
      <c r="K565" s="70"/>
    </row>
    <row r="566" spans="2:11" x14ac:dyDescent="0.25">
      <c r="B566" s="939" t="s">
        <v>7364</v>
      </c>
      <c r="C566" s="372"/>
      <c r="D566" s="413"/>
      <c r="E566" s="367"/>
      <c r="F566" s="413"/>
      <c r="G566" s="70"/>
      <c r="H566" s="498"/>
      <c r="I566" s="70"/>
      <c r="J566" s="70"/>
      <c r="K566" s="70"/>
    </row>
    <row r="567" spans="2:11" x14ac:dyDescent="0.25">
      <c r="B567" s="91" t="s">
        <v>7369</v>
      </c>
      <c r="C567" s="372"/>
      <c r="D567" s="413">
        <v>77</v>
      </c>
      <c r="E567" s="367"/>
      <c r="F567" s="413">
        <v>70</v>
      </c>
      <c r="G567" s="70"/>
      <c r="H567" s="498"/>
      <c r="I567" s="70"/>
      <c r="J567" s="70"/>
      <c r="K567" s="70"/>
    </row>
    <row r="568" spans="2:11" x14ac:dyDescent="0.25">
      <c r="B568" s="91" t="s">
        <v>7370</v>
      </c>
      <c r="C568" s="372"/>
      <c r="D568" s="940">
        <v>69.900000000000006</v>
      </c>
      <c r="E568" s="367"/>
      <c r="F568" s="940">
        <v>66.44</v>
      </c>
      <c r="G568" s="70"/>
      <c r="H568" s="498"/>
      <c r="I568" s="70"/>
      <c r="J568" s="70"/>
      <c r="K568" s="70"/>
    </row>
    <row r="569" spans="2:11" x14ac:dyDescent="0.25">
      <c r="B569" s="91" t="s">
        <v>7371</v>
      </c>
      <c r="C569" s="372"/>
      <c r="D569" s="940">
        <v>5962</v>
      </c>
      <c r="E569" s="367"/>
      <c r="F569" s="940">
        <v>4855.75</v>
      </c>
      <c r="G569" s="70"/>
      <c r="H569" s="498"/>
      <c r="I569" s="70"/>
      <c r="J569" s="70"/>
      <c r="K569" s="70"/>
    </row>
    <row r="570" spans="2:11" ht="7.5" customHeight="1" x14ac:dyDescent="0.25">
      <c r="B570" s="91"/>
      <c r="C570" s="372"/>
      <c r="D570" s="413"/>
      <c r="E570" s="367"/>
      <c r="F570" s="940"/>
      <c r="G570" s="70"/>
      <c r="H570" s="498"/>
      <c r="I570" s="70"/>
      <c r="J570" s="70"/>
      <c r="K570" s="70"/>
    </row>
    <row r="571" spans="2:11" x14ac:dyDescent="0.25">
      <c r="B571" s="941" t="s">
        <v>7372</v>
      </c>
      <c r="C571" s="519"/>
      <c r="D571" s="570">
        <f>D555+D562+D567</f>
        <v>996</v>
      </c>
      <c r="E571" s="571"/>
      <c r="F571" s="570">
        <f>F555+F562+F567</f>
        <v>999</v>
      </c>
      <c r="G571" s="70"/>
      <c r="H571" s="498"/>
      <c r="I571" s="70"/>
      <c r="J571" s="70"/>
      <c r="K571" s="70"/>
    </row>
    <row r="572" spans="2:11" x14ac:dyDescent="0.25">
      <c r="B572" s="498"/>
      <c r="C572" s="498"/>
      <c r="D572" s="498"/>
      <c r="E572" s="498"/>
      <c r="F572" s="498"/>
      <c r="G572" s="498"/>
      <c r="H572" s="498"/>
      <c r="I572" s="70"/>
      <c r="J572" s="70"/>
      <c r="K572" s="70"/>
    </row>
    <row r="573" spans="2:11" x14ac:dyDescent="0.25">
      <c r="B573" s="941" t="s">
        <v>7377</v>
      </c>
      <c r="C573" s="372"/>
      <c r="D573" s="936" t="str">
        <f>D552</f>
        <v xml:space="preserve"> Dezembro 2025</v>
      </c>
      <c r="E573" s="372"/>
      <c r="F573" s="936" t="str">
        <f>F552</f>
        <v>Dezembro 2024</v>
      </c>
      <c r="G573" s="498"/>
      <c r="H573" s="498"/>
      <c r="I573" s="70"/>
      <c r="J573" s="70"/>
      <c r="K573" s="70"/>
    </row>
    <row r="574" spans="2:11" ht="7.5" customHeight="1" x14ac:dyDescent="0.25">
      <c r="B574" s="943"/>
      <c r="C574" s="372"/>
      <c r="D574" s="944"/>
      <c r="E574" s="359"/>
      <c r="F574" s="944"/>
      <c r="G574" s="498"/>
      <c r="H574" s="498"/>
      <c r="I574" s="70"/>
      <c r="J574" s="70"/>
      <c r="K574" s="70"/>
    </row>
    <row r="575" spans="2:11" x14ac:dyDescent="0.25">
      <c r="B575" s="938" t="s">
        <v>7373</v>
      </c>
      <c r="C575" s="372"/>
      <c r="D575" s="942">
        <v>881516</v>
      </c>
      <c r="E575" s="498"/>
      <c r="F575" s="942">
        <v>1088114</v>
      </c>
      <c r="G575" s="498"/>
      <c r="H575" s="498"/>
      <c r="I575" s="70"/>
      <c r="J575" s="70"/>
      <c r="K575" s="70"/>
    </row>
    <row r="576" spans="2:11" x14ac:dyDescent="0.25">
      <c r="B576" s="91" t="s">
        <v>7390</v>
      </c>
      <c r="C576" s="372"/>
      <c r="D576" s="413">
        <v>10119</v>
      </c>
      <c r="E576" s="498"/>
      <c r="F576" s="413">
        <v>15037</v>
      </c>
      <c r="G576" s="498"/>
      <c r="H576" s="498"/>
      <c r="I576" s="70"/>
      <c r="J576" s="70"/>
      <c r="K576" s="70"/>
    </row>
    <row r="577" spans="2:11" x14ac:dyDescent="0.25">
      <c r="B577" s="91" t="s">
        <v>7391</v>
      </c>
      <c r="C577" s="372"/>
      <c r="D577" s="413">
        <v>108920</v>
      </c>
      <c r="E577" s="498"/>
      <c r="F577" s="413">
        <v>101731</v>
      </c>
      <c r="G577" s="498"/>
      <c r="H577" s="498"/>
      <c r="I577" s="70"/>
      <c r="J577" s="70"/>
      <c r="K577" s="70"/>
    </row>
    <row r="578" spans="2:11" x14ac:dyDescent="0.25">
      <c r="B578" s="91" t="s">
        <v>7374</v>
      </c>
      <c r="C578" s="372"/>
      <c r="D578" s="413">
        <v>135766</v>
      </c>
      <c r="E578" s="498"/>
      <c r="F578" s="413">
        <v>-256289</v>
      </c>
      <c r="G578" s="498"/>
      <c r="H578" s="498"/>
      <c r="I578" s="70"/>
      <c r="J578" s="70"/>
      <c r="K578" s="70"/>
    </row>
    <row r="579" spans="2:11" x14ac:dyDescent="0.25">
      <c r="B579" s="91" t="s">
        <v>7375</v>
      </c>
      <c r="C579" s="372"/>
      <c r="D579" s="413">
        <v>-69959</v>
      </c>
      <c r="E579" s="498"/>
      <c r="F579" s="413">
        <v>-67077</v>
      </c>
      <c r="G579" s="498"/>
      <c r="H579" s="498"/>
      <c r="I579" s="70"/>
      <c r="J579" s="70"/>
      <c r="K579" s="70"/>
    </row>
    <row r="580" spans="2:11" ht="7.5" customHeight="1" x14ac:dyDescent="0.25">
      <c r="B580" s="943"/>
      <c r="C580" s="372"/>
      <c r="D580" s="944"/>
      <c r="E580" s="498"/>
      <c r="F580" s="944"/>
      <c r="G580" s="498"/>
      <c r="H580" s="498"/>
      <c r="I580" s="70"/>
      <c r="J580" s="70"/>
      <c r="K580" s="70"/>
    </row>
    <row r="581" spans="2:11" x14ac:dyDescent="0.25">
      <c r="B581" s="941" t="s">
        <v>7376</v>
      </c>
      <c r="C581" s="372"/>
      <c r="D581" s="945"/>
      <c r="E581" s="498"/>
      <c r="F581" s="945">
        <f>SUM(F575:F579)</f>
        <v>881516</v>
      </c>
      <c r="G581" s="498"/>
      <c r="H581" s="498"/>
      <c r="I581" s="70"/>
      <c r="J581" s="70"/>
      <c r="K581" s="70"/>
    </row>
    <row r="582" spans="2:11" ht="7.5" customHeight="1" x14ac:dyDescent="0.25">
      <c r="B582" s="943"/>
      <c r="C582" s="372"/>
      <c r="D582" s="944"/>
      <c r="E582" s="359"/>
      <c r="F582" s="944"/>
      <c r="G582" s="498"/>
      <c r="H582" s="498"/>
      <c r="I582" s="70"/>
      <c r="J582" s="70"/>
      <c r="K582" s="70"/>
    </row>
    <row r="583" spans="2:11" x14ac:dyDescent="0.25">
      <c r="B583" s="938" t="s">
        <v>7378</v>
      </c>
      <c r="C583" s="372"/>
      <c r="D583" s="942">
        <v>983577</v>
      </c>
      <c r="E583" s="498"/>
      <c r="F583" s="942">
        <v>1199050</v>
      </c>
      <c r="G583" s="498"/>
      <c r="H583" s="498"/>
      <c r="I583" s="70"/>
      <c r="J583" s="70"/>
      <c r="K583" s="70"/>
    </row>
    <row r="584" spans="2:11" x14ac:dyDescent="0.25">
      <c r="B584" s="91" t="s">
        <v>7379</v>
      </c>
      <c r="C584" s="372"/>
      <c r="D584" s="413">
        <v>123468</v>
      </c>
      <c r="E584" s="498"/>
      <c r="F584" s="413">
        <v>113326</v>
      </c>
      <c r="G584" s="498"/>
      <c r="H584" s="498"/>
      <c r="I584" s="70"/>
      <c r="J584" s="70"/>
      <c r="K584" s="70"/>
    </row>
    <row r="585" spans="2:11" x14ac:dyDescent="0.25">
      <c r="B585" s="91" t="s">
        <v>7380</v>
      </c>
      <c r="C585" s="372"/>
      <c r="D585" s="413">
        <v>13030</v>
      </c>
      <c r="E585" s="498"/>
      <c r="F585" s="413">
        <v>12638</v>
      </c>
      <c r="G585" s="498"/>
      <c r="H585" s="498"/>
      <c r="I585" s="70"/>
      <c r="J585" s="70"/>
      <c r="K585" s="70"/>
    </row>
    <row r="586" spans="2:11" x14ac:dyDescent="0.25">
      <c r="B586" s="91" t="s">
        <v>7381</v>
      </c>
      <c r="C586" s="372"/>
      <c r="D586" s="413">
        <v>2898</v>
      </c>
      <c r="E586" s="498"/>
      <c r="F586" s="413">
        <v>2742</v>
      </c>
      <c r="G586" s="498"/>
      <c r="H586" s="498"/>
      <c r="I586" s="70"/>
      <c r="J586" s="70"/>
      <c r="K586" s="70"/>
    </row>
    <row r="587" spans="2:11" x14ac:dyDescent="0.25">
      <c r="B587" s="91" t="s">
        <v>7382</v>
      </c>
      <c r="C587" s="372"/>
      <c r="D587" s="413">
        <v>10355</v>
      </c>
      <c r="E587" s="498"/>
      <c r="F587" s="413">
        <v>10065</v>
      </c>
      <c r="G587" s="498"/>
      <c r="H587" s="498"/>
      <c r="I587" s="70"/>
      <c r="J587" s="70"/>
      <c r="K587" s="70"/>
    </row>
    <row r="588" spans="2:11" x14ac:dyDescent="0.25">
      <c r="B588" s="91" t="s">
        <v>7383</v>
      </c>
      <c r="C588" s="372"/>
      <c r="D588" s="413">
        <v>1291</v>
      </c>
      <c r="E588" s="498"/>
      <c r="F588" s="413">
        <v>1258</v>
      </c>
      <c r="G588" s="498"/>
      <c r="H588" s="498"/>
      <c r="I588" s="70"/>
      <c r="J588" s="70"/>
      <c r="K588" s="70"/>
    </row>
    <row r="589" spans="2:11" x14ac:dyDescent="0.25">
      <c r="B589" s="91" t="s">
        <v>7384</v>
      </c>
      <c r="C589" s="372"/>
      <c r="D589" s="413">
        <v>-69959</v>
      </c>
      <c r="E589" s="498"/>
      <c r="F589" s="413">
        <v>-67077</v>
      </c>
      <c r="G589" s="498"/>
      <c r="H589" s="498"/>
      <c r="I589" s="70"/>
      <c r="J589" s="70"/>
      <c r="K589" s="70"/>
    </row>
    <row r="590" spans="2:11" x14ac:dyDescent="0.25">
      <c r="B590" s="91" t="s">
        <v>7385</v>
      </c>
      <c r="C590" s="372"/>
      <c r="D590" s="413">
        <v>-70333</v>
      </c>
      <c r="E590" s="498"/>
      <c r="F590" s="413">
        <v>-288425</v>
      </c>
      <c r="G590" s="498"/>
      <c r="H590" s="498"/>
      <c r="I590" s="70"/>
      <c r="J590" s="70"/>
      <c r="K590" s="70"/>
    </row>
    <row r="591" spans="2:11" ht="7.5" customHeight="1" x14ac:dyDescent="0.25">
      <c r="B591" s="943"/>
      <c r="C591" s="372"/>
      <c r="D591" s="944"/>
      <c r="E591" s="498"/>
      <c r="F591" s="944"/>
      <c r="G591" s="498"/>
      <c r="H591" s="498"/>
      <c r="I591" s="70"/>
      <c r="J591" s="70"/>
      <c r="K591" s="70"/>
    </row>
    <row r="592" spans="2:11" x14ac:dyDescent="0.25">
      <c r="B592" s="941" t="s">
        <v>7386</v>
      </c>
      <c r="C592" s="372"/>
      <c r="D592" s="945">
        <f>SUM(D583:D590)-1</f>
        <v>994326</v>
      </c>
      <c r="E592" s="498"/>
      <c r="F592" s="945">
        <f>SUM(F583:F590)</f>
        <v>983577</v>
      </c>
      <c r="G592" s="498"/>
      <c r="H592" s="498"/>
      <c r="I592" s="70"/>
      <c r="J592" s="70"/>
      <c r="K592" s="70"/>
    </row>
    <row r="593" spans="2:11" x14ac:dyDescent="0.25">
      <c r="B593" s="91"/>
      <c r="C593" s="372"/>
      <c r="D593" s="413"/>
      <c r="E593" s="367"/>
      <c r="F593" s="940"/>
      <c r="G593" s="498"/>
      <c r="H593" s="498"/>
      <c r="I593" s="70"/>
      <c r="J593" s="70"/>
      <c r="K593" s="70"/>
    </row>
    <row r="594" spans="2:11" x14ac:dyDescent="0.25">
      <c r="B594" s="941" t="s">
        <v>7395</v>
      </c>
      <c r="C594" s="372"/>
      <c r="D594" s="945">
        <v>-83682</v>
      </c>
      <c r="E594" s="498"/>
      <c r="F594" s="945">
        <f>F592-F581</f>
        <v>102061</v>
      </c>
      <c r="G594" s="498"/>
      <c r="H594" s="498"/>
      <c r="I594" s="70"/>
      <c r="J594" s="70"/>
      <c r="K594" s="70"/>
    </row>
    <row r="595" spans="2:11" ht="7.5" customHeight="1" x14ac:dyDescent="0.25">
      <c r="B595" s="943"/>
      <c r="C595" s="372"/>
      <c r="D595" s="944"/>
      <c r="E595" s="359"/>
      <c r="F595" s="944"/>
      <c r="G595" s="498"/>
      <c r="H595" s="498"/>
      <c r="I595" s="70"/>
      <c r="J595" s="70"/>
      <c r="K595" s="70"/>
    </row>
    <row r="596" spans="2:11" x14ac:dyDescent="0.25">
      <c r="B596" s="498" t="s">
        <v>7387</v>
      </c>
      <c r="C596" s="498"/>
      <c r="D596" s="942">
        <v>0</v>
      </c>
      <c r="E596" s="498"/>
      <c r="F596" s="413">
        <v>-102061</v>
      </c>
      <c r="G596" s="498"/>
      <c r="H596" s="498"/>
      <c r="I596" s="70"/>
      <c r="J596" s="70"/>
      <c r="K596" s="70"/>
    </row>
    <row r="597" spans="2:11" x14ac:dyDescent="0.25">
      <c r="B597" s="498" t="s">
        <v>7388</v>
      </c>
      <c r="C597" s="498"/>
      <c r="D597" s="413">
        <v>246780</v>
      </c>
      <c r="E597" s="413"/>
      <c r="F597" s="413">
        <v>249901</v>
      </c>
      <c r="G597" s="498"/>
      <c r="H597" s="498"/>
      <c r="I597" s="70"/>
      <c r="J597" s="70"/>
      <c r="K597" s="70"/>
    </row>
    <row r="598" spans="2:11" ht="8.25" customHeight="1" x14ac:dyDescent="0.25">
      <c r="B598" s="498"/>
      <c r="C598" s="498"/>
      <c r="D598" s="498"/>
      <c r="E598" s="498"/>
      <c r="F598" s="498"/>
      <c r="G598" s="498"/>
      <c r="H598" s="498"/>
      <c r="I598" s="70"/>
      <c r="J598" s="70"/>
      <c r="K598" s="70"/>
    </row>
    <row r="599" spans="2:11" x14ac:dyDescent="0.25">
      <c r="B599" s="941" t="s">
        <v>7389</v>
      </c>
      <c r="C599" s="372"/>
      <c r="D599" s="945">
        <v>0</v>
      </c>
      <c r="E599" s="498"/>
      <c r="F599" s="945">
        <v>0</v>
      </c>
      <c r="G599" s="498"/>
      <c r="H599" s="498"/>
      <c r="I599" s="70"/>
      <c r="J599" s="70"/>
      <c r="K599" s="70"/>
    </row>
    <row r="600" spans="2:11" x14ac:dyDescent="0.25">
      <c r="B600" s="498"/>
      <c r="C600" s="498"/>
      <c r="D600" s="498"/>
      <c r="E600" s="498"/>
      <c r="F600" s="498"/>
      <c r="G600" s="498"/>
      <c r="H600" s="498"/>
      <c r="I600" s="70"/>
      <c r="J600" s="70"/>
      <c r="K600" s="70"/>
    </row>
    <row r="601" spans="2:11" x14ac:dyDescent="0.25">
      <c r="B601" s="498"/>
      <c r="C601" s="498"/>
      <c r="D601" s="498"/>
      <c r="E601" s="498"/>
      <c r="F601" s="498"/>
      <c r="G601" s="498"/>
      <c r="H601" s="498"/>
      <c r="I601" s="70"/>
      <c r="J601" s="70"/>
      <c r="K601" s="70"/>
    </row>
    <row r="602" spans="2:11" x14ac:dyDescent="0.25">
      <c r="B602" s="498"/>
      <c r="C602" s="498"/>
      <c r="D602" s="498"/>
      <c r="E602" s="498"/>
      <c r="F602" s="498"/>
      <c r="G602" s="498"/>
      <c r="H602" s="498"/>
      <c r="I602" s="70"/>
      <c r="J602" s="70"/>
      <c r="K602" s="70"/>
    </row>
    <row r="603" spans="2:11" x14ac:dyDescent="0.25">
      <c r="B603" s="498"/>
      <c r="C603" s="498"/>
      <c r="D603" s="498"/>
      <c r="E603" s="498"/>
      <c r="F603" s="498"/>
      <c r="G603" s="498"/>
      <c r="H603" s="498"/>
      <c r="I603" s="70"/>
      <c r="J603" s="70"/>
      <c r="K603" s="70"/>
    </row>
    <row r="604" spans="2:11" x14ac:dyDescent="0.25">
      <c r="B604" s="498"/>
      <c r="C604" s="498"/>
      <c r="D604" s="498"/>
      <c r="E604" s="498"/>
      <c r="F604" s="498"/>
      <c r="G604" s="498"/>
      <c r="H604" s="498"/>
      <c r="I604" s="70"/>
      <c r="J604" s="70"/>
      <c r="K604" s="70"/>
    </row>
    <row r="605" spans="2:11" x14ac:dyDescent="0.25">
      <c r="B605" s="498"/>
      <c r="C605" s="498"/>
      <c r="D605" s="498"/>
      <c r="E605" s="498"/>
      <c r="F605" s="498"/>
      <c r="G605" s="498"/>
      <c r="H605" s="498"/>
      <c r="I605" s="70"/>
      <c r="J605" s="70"/>
      <c r="K605" s="70"/>
    </row>
    <row r="606" spans="2:11" x14ac:dyDescent="0.25">
      <c r="B606" s="498"/>
      <c r="C606" s="498"/>
      <c r="D606" s="498"/>
      <c r="E606" s="498"/>
      <c r="F606" s="498"/>
      <c r="G606" s="498"/>
      <c r="H606" s="498"/>
      <c r="I606" s="70"/>
      <c r="J606" s="70"/>
      <c r="K606" s="70"/>
    </row>
    <row r="607" spans="2:11" x14ac:dyDescent="0.25">
      <c r="B607" s="498"/>
      <c r="C607" s="498"/>
      <c r="D607" s="498"/>
      <c r="E607" s="498"/>
      <c r="F607" s="498"/>
      <c r="G607" s="498"/>
      <c r="H607" s="498"/>
      <c r="I607" s="70"/>
      <c r="J607" s="70"/>
      <c r="K607" s="70"/>
    </row>
    <row r="608" spans="2:11" x14ac:dyDescent="0.25">
      <c r="B608" s="498"/>
      <c r="C608" s="498"/>
      <c r="D608" s="498"/>
      <c r="E608" s="498"/>
      <c r="F608" s="498"/>
      <c r="G608" s="498"/>
      <c r="H608" s="498"/>
      <c r="I608" s="70"/>
      <c r="J608" s="70"/>
      <c r="K608" s="70"/>
    </row>
    <row r="609" spans="2:48" x14ac:dyDescent="0.25">
      <c r="B609" s="498"/>
      <c r="C609" s="498"/>
      <c r="D609" s="498"/>
      <c r="E609" s="498"/>
      <c r="F609" s="498"/>
      <c r="G609" s="498"/>
      <c r="H609" s="498"/>
      <c r="I609" s="70"/>
      <c r="J609" s="70"/>
      <c r="K609" s="70"/>
    </row>
    <row r="610" spans="2:48" x14ac:dyDescent="0.25">
      <c r="B610" s="498"/>
      <c r="C610" s="498"/>
      <c r="D610" s="498"/>
      <c r="E610" s="498"/>
      <c r="F610" s="498"/>
      <c r="G610" s="498"/>
      <c r="H610" s="498"/>
      <c r="I610" s="70"/>
      <c r="J610" s="70"/>
      <c r="K610" s="70"/>
    </row>
    <row r="611" spans="2:48" x14ac:dyDescent="0.25">
      <c r="B611" s="498"/>
      <c r="C611" s="498"/>
      <c r="D611" s="498"/>
      <c r="E611" s="498"/>
      <c r="F611" s="498"/>
      <c r="G611" s="498"/>
      <c r="H611" s="498"/>
      <c r="I611" s="70"/>
      <c r="J611" s="70"/>
      <c r="K611" s="70"/>
    </row>
    <row r="612" spans="2:48" x14ac:dyDescent="0.25">
      <c r="B612" s="965" t="e">
        <f>CONCATENATE(#REF!+2," - COBERTURA DE SEGUROS")</f>
        <v>#REF!</v>
      </c>
      <c r="C612" s="965"/>
      <c r="D612" s="965"/>
      <c r="E612" s="965"/>
      <c r="F612" s="965"/>
      <c r="G612" s="965"/>
      <c r="H612" s="812"/>
      <c r="I612" s="70"/>
      <c r="J612" s="70"/>
      <c r="K612" s="70"/>
    </row>
    <row r="613" spans="2:48" ht="50.25" customHeight="1" x14ac:dyDescent="0.25">
      <c r="B613" s="966" t="s">
        <v>7040</v>
      </c>
      <c r="C613" s="966"/>
      <c r="D613" s="966"/>
      <c r="E613" s="966"/>
      <c r="F613" s="966"/>
      <c r="G613" s="966"/>
      <c r="H613" s="498"/>
      <c r="I613" s="70"/>
      <c r="J613" s="70"/>
      <c r="K613" s="70"/>
    </row>
    <row r="614" spans="2:48" x14ac:dyDescent="0.25">
      <c r="B614" s="966"/>
      <c r="C614" s="966"/>
      <c r="D614" s="966"/>
      <c r="E614" s="966"/>
      <c r="F614" s="966"/>
      <c r="G614" s="966"/>
      <c r="H614" s="498"/>
      <c r="I614" s="70"/>
      <c r="J614" s="70"/>
      <c r="K614" s="70"/>
    </row>
    <row r="615" spans="2:48" x14ac:dyDescent="0.25">
      <c r="B615" s="966"/>
      <c r="C615" s="966"/>
      <c r="D615" s="966"/>
      <c r="E615" s="966"/>
      <c r="F615" s="966"/>
      <c r="G615" s="966"/>
      <c r="H615" s="498"/>
      <c r="I615" s="70"/>
      <c r="J615" s="70"/>
      <c r="K615" s="70"/>
      <c r="AM615" s="896" t="s">
        <v>7041</v>
      </c>
      <c r="AN615" s="574"/>
      <c r="AO615" s="971" t="s">
        <v>7042</v>
      </c>
      <c r="AP615" s="971"/>
      <c r="AQ615" s="971"/>
      <c r="AR615" s="971"/>
      <c r="AS615" s="971"/>
      <c r="AT615" s="574"/>
      <c r="AU615" s="897" t="s">
        <v>7102</v>
      </c>
      <c r="AV615" s="898"/>
    </row>
    <row r="616" spans="2:48" x14ac:dyDescent="0.25">
      <c r="B616" s="966"/>
      <c r="C616" s="966"/>
      <c r="D616" s="966"/>
      <c r="E616" s="966"/>
      <c r="F616" s="966"/>
      <c r="G616" s="966"/>
      <c r="H616" s="498"/>
      <c r="I616" s="70"/>
      <c r="J616" s="70"/>
      <c r="K616" s="70"/>
      <c r="AM616" s="547" t="s">
        <v>7333</v>
      </c>
      <c r="AN616" s="76"/>
      <c r="AO616" s="402" t="s">
        <v>7044</v>
      </c>
      <c r="AP616" s="402"/>
      <c r="AQ616" s="402"/>
      <c r="AR616" s="402"/>
      <c r="AS616" s="402"/>
      <c r="AT616" s="76"/>
      <c r="AU616" s="899">
        <v>177168658.75</v>
      </c>
      <c r="AV616" s="900"/>
    </row>
    <row r="617" spans="2:48" x14ac:dyDescent="0.25">
      <c r="B617" s="966"/>
      <c r="C617" s="966"/>
      <c r="D617" s="966"/>
      <c r="E617" s="966"/>
      <c r="F617" s="966"/>
      <c r="G617" s="966"/>
      <c r="H617" s="498"/>
      <c r="I617" s="70"/>
      <c r="J617" s="70"/>
      <c r="K617" s="70"/>
      <c r="AM617" s="547" t="s">
        <v>7045</v>
      </c>
      <c r="AN617" s="76"/>
      <c r="AO617" s="972" t="s">
        <v>7046</v>
      </c>
      <c r="AP617" s="972"/>
      <c r="AQ617" s="972"/>
      <c r="AR617" s="972"/>
      <c r="AS617" s="972"/>
      <c r="AT617" s="76"/>
      <c r="AU617" s="899">
        <v>10000000</v>
      </c>
      <c r="AV617" s="900"/>
    </row>
    <row r="618" spans="2:48" x14ac:dyDescent="0.25">
      <c r="B618" s="966"/>
      <c r="C618" s="966"/>
      <c r="D618" s="966"/>
      <c r="E618" s="966"/>
      <c r="F618" s="966"/>
      <c r="G618" s="966"/>
      <c r="H618" s="498"/>
      <c r="I618" s="70"/>
      <c r="J618" s="70"/>
      <c r="K618" s="70"/>
      <c r="AM618" s="547" t="s">
        <v>7047</v>
      </c>
      <c r="AN618" s="76"/>
      <c r="AO618" s="972" t="s">
        <v>7048</v>
      </c>
      <c r="AP618" s="972"/>
      <c r="AQ618" s="972"/>
      <c r="AR618" s="972"/>
      <c r="AS618" s="972"/>
      <c r="AT618" s="76"/>
      <c r="AU618" s="901" t="s">
        <v>7049</v>
      </c>
      <c r="AV618" s="900"/>
    </row>
    <row r="619" spans="2:48" x14ac:dyDescent="0.25">
      <c r="B619" s="966"/>
      <c r="C619" s="966"/>
      <c r="D619" s="966"/>
      <c r="E619" s="966"/>
      <c r="F619" s="966"/>
      <c r="G619" s="966"/>
      <c r="H619" s="498"/>
      <c r="I619" s="70"/>
      <c r="J619" s="70"/>
      <c r="K619" s="70"/>
      <c r="AM619" s="547" t="s">
        <v>7050</v>
      </c>
      <c r="AN619" s="76"/>
      <c r="AO619" s="972" t="s">
        <v>7051</v>
      </c>
      <c r="AP619" s="972"/>
      <c r="AQ619" s="972"/>
      <c r="AR619" s="972"/>
      <c r="AS619" s="972"/>
      <c r="AT619" s="76"/>
      <c r="AU619" s="899">
        <v>2000000</v>
      </c>
      <c r="AV619" s="900"/>
    </row>
    <row r="620" spans="2:48" x14ac:dyDescent="0.25">
      <c r="B620" s="966"/>
      <c r="C620" s="966"/>
      <c r="D620" s="966"/>
      <c r="E620" s="966"/>
      <c r="F620" s="966"/>
      <c r="G620" s="966"/>
      <c r="H620" s="498"/>
      <c r="I620" s="70"/>
      <c r="J620" s="70"/>
      <c r="K620" s="70"/>
      <c r="AM620" s="547" t="s">
        <v>7052</v>
      </c>
      <c r="AN620" s="76"/>
      <c r="AO620" s="972" t="s">
        <v>7044</v>
      </c>
      <c r="AP620" s="972"/>
      <c r="AQ620" s="972"/>
      <c r="AR620" s="972"/>
      <c r="AS620" s="972"/>
      <c r="AT620" s="76"/>
      <c r="AU620" s="899">
        <v>1708000</v>
      </c>
      <c r="AV620" s="900"/>
    </row>
    <row r="621" spans="2:48" x14ac:dyDescent="0.25">
      <c r="B621" s="966"/>
      <c r="C621" s="966"/>
      <c r="D621" s="966"/>
      <c r="E621" s="966"/>
      <c r="F621" s="966"/>
      <c r="G621" s="966"/>
      <c r="H621" s="498"/>
      <c r="I621" s="70"/>
      <c r="J621" s="70"/>
      <c r="K621" s="70"/>
      <c r="AM621" s="547" t="s">
        <v>7334</v>
      </c>
      <c r="AN621" s="76"/>
      <c r="AO621" s="973" t="s">
        <v>7054</v>
      </c>
      <c r="AP621" s="973"/>
      <c r="AQ621" s="973"/>
      <c r="AR621" s="973"/>
      <c r="AS621" s="973"/>
      <c r="AT621" s="76"/>
      <c r="AU621" s="899">
        <v>32000000</v>
      </c>
      <c r="AV621" s="900"/>
    </row>
    <row r="622" spans="2:48" x14ac:dyDescent="0.25">
      <c r="B622" s="966"/>
      <c r="C622" s="966"/>
      <c r="D622" s="966"/>
      <c r="E622" s="966"/>
      <c r="F622" s="966"/>
      <c r="G622" s="966"/>
      <c r="H622" s="498"/>
      <c r="I622" s="70"/>
      <c r="J622" s="70"/>
      <c r="K622" s="70"/>
      <c r="AM622" s="523" t="s">
        <v>7055</v>
      </c>
      <c r="AN622" s="70"/>
      <c r="AO622" s="974" t="s">
        <v>7101</v>
      </c>
      <c r="AP622" s="974"/>
      <c r="AQ622" s="974"/>
      <c r="AR622" s="974"/>
      <c r="AS622" s="974"/>
      <c r="AT622" s="70"/>
      <c r="AU622" s="902">
        <f>4+712+76+20</f>
        <v>812</v>
      </c>
      <c r="AV622" s="900"/>
    </row>
    <row r="623" spans="2:48" x14ac:dyDescent="0.25">
      <c r="B623" s="966"/>
      <c r="C623" s="966"/>
      <c r="D623" s="966"/>
      <c r="E623" s="966"/>
      <c r="F623" s="966"/>
      <c r="G623" s="966"/>
      <c r="H623" s="498"/>
      <c r="I623" s="70"/>
      <c r="J623" s="70"/>
      <c r="K623" s="70"/>
      <c r="AM623" s="903"/>
      <c r="AN623" s="904"/>
      <c r="AO623" s="905" t="s">
        <v>7335</v>
      </c>
      <c r="AP623" s="904"/>
      <c r="AQ623" s="904"/>
      <c r="AR623" s="904"/>
      <c r="AS623" s="904"/>
      <c r="AT623" s="904"/>
      <c r="AU623" s="904"/>
      <c r="AV623" s="906"/>
    </row>
    <row r="624" spans="2:48" x14ac:dyDescent="0.25">
      <c r="B624" s="498"/>
      <c r="C624" s="498"/>
      <c r="D624" s="498"/>
      <c r="E624" s="498"/>
      <c r="F624" s="498"/>
      <c r="G624" s="498"/>
      <c r="H624" s="498"/>
      <c r="I624" s="70"/>
      <c r="J624" s="70"/>
      <c r="K624" s="70"/>
      <c r="AO624" s="391"/>
    </row>
    <row r="625" spans="2:11" x14ac:dyDescent="0.25">
      <c r="B625" s="965" t="e">
        <f>CONCATENATE(#REF!+3," – ATIVOS CONTINGENTES")</f>
        <v>#REF!</v>
      </c>
      <c r="C625" s="965"/>
      <c r="D625" s="965"/>
      <c r="E625" s="965"/>
      <c r="F625" s="965"/>
      <c r="G625" s="965"/>
      <c r="H625" s="812"/>
      <c r="I625" s="70"/>
      <c r="J625" s="70"/>
      <c r="K625" s="70"/>
    </row>
    <row r="626" spans="2:11" ht="66.75" customHeight="1" x14ac:dyDescent="0.25">
      <c r="B626" s="966" t="s">
        <v>7059</v>
      </c>
      <c r="C626" s="966"/>
      <c r="D626" s="966"/>
      <c r="E626" s="966"/>
      <c r="F626" s="966"/>
      <c r="G626" s="966"/>
      <c r="H626" s="498"/>
      <c r="I626" s="70"/>
      <c r="J626" s="70"/>
      <c r="K626" s="70"/>
    </row>
    <row r="627" spans="2:11" ht="39.75" customHeight="1" x14ac:dyDescent="0.25">
      <c r="B627" s="966" t="s">
        <v>7060</v>
      </c>
      <c r="C627" s="966"/>
      <c r="D627" s="966"/>
      <c r="E627" s="966"/>
      <c r="F627" s="966"/>
      <c r="G627" s="966"/>
      <c r="H627" s="498"/>
      <c r="I627" s="70"/>
      <c r="J627" s="70"/>
      <c r="K627" s="70"/>
    </row>
    <row r="628" spans="2:11" x14ac:dyDescent="0.25">
      <c r="B628" s="966"/>
      <c r="C628" s="966"/>
      <c r="D628" s="966"/>
      <c r="E628" s="966"/>
      <c r="F628" s="966"/>
      <c r="G628" s="966"/>
      <c r="H628" s="498"/>
      <c r="I628" s="70"/>
      <c r="J628" s="70"/>
      <c r="K628" s="70"/>
    </row>
    <row r="629" spans="2:11" x14ac:dyDescent="0.25">
      <c r="B629" s="966"/>
      <c r="C629" s="966"/>
      <c r="D629" s="966"/>
      <c r="E629" s="966"/>
      <c r="F629" s="966"/>
      <c r="G629" s="966"/>
      <c r="H629" s="498"/>
      <c r="I629" s="70"/>
      <c r="J629" s="70"/>
      <c r="K629" s="70"/>
    </row>
    <row r="630" spans="2:11" x14ac:dyDescent="0.25">
      <c r="B630" s="511" t="s">
        <v>7061</v>
      </c>
      <c r="C630" s="537"/>
      <c r="D630" s="365" t="str">
        <f>D501</f>
        <v xml:space="preserve"> Dezembro 2025</v>
      </c>
      <c r="E630" s="574"/>
      <c r="F630" s="361" t="s">
        <v>6843</v>
      </c>
      <c r="G630" s="596"/>
      <c r="H630" s="498"/>
      <c r="I630" s="70"/>
      <c r="J630" s="70"/>
      <c r="K630" s="70"/>
    </row>
    <row r="631" spans="2:11" x14ac:dyDescent="0.25">
      <c r="B631" s="526" t="s">
        <v>6895</v>
      </c>
      <c r="C631" s="388"/>
      <c r="D631" s="802">
        <v>477392</v>
      </c>
      <c r="E631" s="70"/>
      <c r="F631" s="390">
        <f>458906948.29/1000</f>
        <v>458906.94829000003</v>
      </c>
      <c r="G631" s="597"/>
      <c r="H631" s="498"/>
      <c r="I631" s="70"/>
      <c r="J631" s="70"/>
      <c r="K631" s="70"/>
    </row>
    <row r="632" spans="2:11" x14ac:dyDescent="0.25">
      <c r="B632" s="526" t="s">
        <v>7205</v>
      </c>
      <c r="C632" s="388"/>
      <c r="D632" s="802">
        <v>300</v>
      </c>
      <c r="E632" s="70"/>
      <c r="F632" s="390">
        <f>234660.48/1000</f>
        <v>234.66048000000001</v>
      </c>
      <c r="G632" s="597"/>
      <c r="H632" s="498"/>
      <c r="I632" s="70"/>
      <c r="J632" s="70"/>
      <c r="K632" s="70"/>
    </row>
    <row r="633" spans="2:11" x14ac:dyDescent="0.25">
      <c r="B633" s="511" t="s">
        <v>4503</v>
      </c>
      <c r="C633" s="535"/>
      <c r="D633" s="377">
        <f>D631+D632</f>
        <v>477692</v>
      </c>
      <c r="E633" s="536"/>
      <c r="F633" s="377">
        <f>F631+F632</f>
        <v>459141.60877000005</v>
      </c>
      <c r="G633" s="598"/>
      <c r="H633" s="498"/>
      <c r="I633" s="70"/>
      <c r="J633" s="70"/>
      <c r="K633" s="70"/>
    </row>
    <row r="634" spans="2:11" x14ac:dyDescent="0.25">
      <c r="B634" s="498"/>
      <c r="C634" s="498"/>
      <c r="D634" s="498"/>
      <c r="E634" s="498"/>
      <c r="F634" s="498"/>
      <c r="G634" s="498"/>
      <c r="H634" s="498"/>
      <c r="I634" s="70"/>
      <c r="J634" s="70"/>
      <c r="K634" s="70"/>
    </row>
    <row r="635" spans="2:11" x14ac:dyDescent="0.25">
      <c r="B635" s="965" t="s">
        <v>7302</v>
      </c>
      <c r="C635" s="965"/>
      <c r="D635" s="965"/>
      <c r="E635" s="965"/>
      <c r="F635" s="965"/>
      <c r="G635" s="965"/>
      <c r="H635" s="812"/>
      <c r="I635" s="70"/>
      <c r="J635" s="70"/>
      <c r="K635" s="70"/>
    </row>
    <row r="636" spans="2:11" x14ac:dyDescent="0.25">
      <c r="B636" s="966"/>
      <c r="C636" s="966"/>
      <c r="D636" s="966"/>
      <c r="E636" s="966"/>
      <c r="F636" s="966"/>
      <c r="G636" s="966"/>
      <c r="H636" s="498"/>
      <c r="I636" s="70"/>
      <c r="J636" s="70"/>
      <c r="K636" s="70"/>
    </row>
    <row r="637" spans="2:11" ht="89.25" customHeight="1" x14ac:dyDescent="0.25">
      <c r="B637" s="966" t="s">
        <v>7206</v>
      </c>
      <c r="C637" s="966"/>
      <c r="D637" s="966"/>
      <c r="E637" s="966"/>
      <c r="F637" s="966"/>
      <c r="G637" s="966"/>
      <c r="H637" s="498"/>
      <c r="I637" s="70"/>
      <c r="J637" s="70"/>
      <c r="K637" s="70"/>
    </row>
    <row r="638" spans="2:11" ht="84.75" customHeight="1" x14ac:dyDescent="0.25">
      <c r="B638" s="966" t="s">
        <v>7207</v>
      </c>
      <c r="C638" s="966"/>
      <c r="D638" s="966"/>
      <c r="E638" s="966"/>
      <c r="F638" s="966"/>
      <c r="G638" s="966"/>
      <c r="H638" s="498"/>
      <c r="I638" s="70"/>
      <c r="J638" s="70"/>
      <c r="K638" s="70"/>
    </row>
    <row r="639" spans="2:11" x14ac:dyDescent="0.25">
      <c r="B639" s="966"/>
      <c r="C639" s="966"/>
      <c r="D639" s="966"/>
      <c r="E639" s="966"/>
      <c r="F639" s="966"/>
      <c r="G639" s="966"/>
      <c r="H639" s="498"/>
      <c r="I639" s="70"/>
      <c r="J639" s="70"/>
      <c r="K639" s="70"/>
    </row>
    <row r="640" spans="2:11" ht="69" customHeight="1" x14ac:dyDescent="0.25">
      <c r="B640" s="966" t="s">
        <v>7208</v>
      </c>
      <c r="C640" s="966"/>
      <c r="D640" s="966"/>
      <c r="E640" s="966"/>
      <c r="F640" s="966"/>
      <c r="G640" s="966"/>
      <c r="H640" s="498"/>
      <c r="I640" s="70"/>
      <c r="J640" s="70"/>
      <c r="K640" s="70"/>
    </row>
    <row r="641" spans="2:11" x14ac:dyDescent="0.25">
      <c r="B641" s="966"/>
      <c r="C641" s="966"/>
      <c r="D641" s="966"/>
      <c r="E641" s="966"/>
      <c r="F641" s="966"/>
      <c r="G641" s="966"/>
      <c r="H641" s="498"/>
      <c r="I641" s="70"/>
      <c r="J641" s="70"/>
      <c r="K641" s="70"/>
    </row>
    <row r="642" spans="2:11" ht="72.75" customHeight="1" x14ac:dyDescent="0.25">
      <c r="B642" s="966" t="s">
        <v>7163</v>
      </c>
      <c r="C642" s="966"/>
      <c r="D642" s="966"/>
      <c r="E642" s="966"/>
      <c r="F642" s="966"/>
      <c r="G642" s="966"/>
      <c r="H642" s="498"/>
      <c r="I642" s="70"/>
      <c r="J642" s="70"/>
      <c r="K642" s="70"/>
    </row>
    <row r="643" spans="2:11" x14ac:dyDescent="0.25">
      <c r="B643" s="966"/>
      <c r="C643" s="966"/>
      <c r="D643" s="966"/>
      <c r="E643" s="966"/>
      <c r="F643" s="966"/>
      <c r="G643" s="966"/>
      <c r="H643" s="498"/>
      <c r="I643" s="70"/>
      <c r="J643" s="70"/>
      <c r="K643" s="70"/>
    </row>
    <row r="644" spans="2:11" ht="33.75" customHeight="1" x14ac:dyDescent="0.25">
      <c r="B644" s="965" t="s">
        <v>7303</v>
      </c>
      <c r="C644" s="965"/>
      <c r="D644" s="965"/>
      <c r="E644" s="965"/>
      <c r="F644" s="965"/>
      <c r="G644" s="965"/>
      <c r="H644" s="812"/>
      <c r="I644" s="70"/>
      <c r="J644" s="70"/>
      <c r="K644" s="70"/>
    </row>
    <row r="645" spans="2:11" ht="32.25" customHeight="1" x14ac:dyDescent="0.25">
      <c r="B645" s="966" t="s">
        <v>7064</v>
      </c>
      <c r="C645" s="966"/>
      <c r="D645" s="966"/>
      <c r="E645" s="966"/>
      <c r="F645" s="966"/>
      <c r="G645" s="966"/>
      <c r="H645" s="498"/>
      <c r="I645" s="70"/>
      <c r="J645" s="70"/>
      <c r="K645" s="70"/>
    </row>
    <row r="646" spans="2:11" x14ac:dyDescent="0.25">
      <c r="B646" s="964"/>
      <c r="C646" s="964"/>
      <c r="D646" s="964"/>
      <c r="E646" s="964"/>
      <c r="F646" s="964"/>
      <c r="G646" s="964"/>
      <c r="H646" s="763"/>
      <c r="I646" s="70"/>
      <c r="J646" s="70"/>
      <c r="K646" s="70"/>
    </row>
    <row r="647" spans="2:11" x14ac:dyDescent="0.25">
      <c r="B647" s="511" t="s">
        <v>7065</v>
      </c>
      <c r="C647" s="768"/>
      <c r="D647" s="365" t="str">
        <f>D630</f>
        <v xml:space="preserve"> Dezembro 2025</v>
      </c>
      <c r="E647" s="769"/>
      <c r="F647" s="361" t="s">
        <v>6843</v>
      </c>
      <c r="G647" s="770"/>
      <c r="H647" s="763"/>
      <c r="I647" s="70"/>
      <c r="J647" s="70"/>
      <c r="K647" s="70"/>
    </row>
    <row r="648" spans="2:11" x14ac:dyDescent="0.25">
      <c r="B648" s="771" t="s">
        <v>7066</v>
      </c>
      <c r="C648" s="772"/>
      <c r="D648" s="803">
        <v>131711</v>
      </c>
      <c r="E648" s="590"/>
      <c r="F648" s="594">
        <v>128855</v>
      </c>
      <c r="G648" s="773"/>
      <c r="H648" s="763"/>
      <c r="I648" s="70"/>
      <c r="J648" s="70"/>
      <c r="K648" s="70"/>
    </row>
    <row r="649" spans="2:11" x14ac:dyDescent="0.25">
      <c r="B649" s="771" t="s">
        <v>7067</v>
      </c>
      <c r="C649" s="772"/>
      <c r="D649" s="803">
        <v>143458</v>
      </c>
      <c r="E649" s="590"/>
      <c r="F649" s="595">
        <v>140603</v>
      </c>
      <c r="G649" s="773"/>
      <c r="H649" s="763"/>
      <c r="I649" s="70"/>
      <c r="J649" s="70"/>
      <c r="K649" s="70"/>
    </row>
    <row r="650" spans="2:11" x14ac:dyDescent="0.25">
      <c r="B650" s="511"/>
      <c r="C650" s="737"/>
      <c r="D650" s="774"/>
      <c r="E650" s="775"/>
      <c r="F650" s="774"/>
      <c r="G650" s="776"/>
      <c r="H650" s="763"/>
      <c r="I650" s="70"/>
      <c r="J650" s="70"/>
      <c r="K650" s="70"/>
    </row>
    <row r="651" spans="2:11" x14ac:dyDescent="0.25">
      <c r="B651" s="964"/>
      <c r="C651" s="964"/>
      <c r="D651" s="964"/>
      <c r="E651" s="964"/>
      <c r="F651" s="964"/>
      <c r="G651" s="964"/>
      <c r="H651" s="763"/>
      <c r="I651" s="70"/>
      <c r="J651" s="70"/>
      <c r="K651" s="70"/>
    </row>
    <row r="652" spans="2:11" x14ac:dyDescent="0.25">
      <c r="B652" s="965" t="s">
        <v>7304</v>
      </c>
      <c r="C652" s="965"/>
      <c r="D652" s="965"/>
      <c r="E652" s="965"/>
      <c r="F652" s="965"/>
      <c r="G652" s="965"/>
      <c r="H652" s="812"/>
      <c r="I652" s="70"/>
      <c r="J652" s="70"/>
      <c r="K652" s="70"/>
    </row>
    <row r="653" spans="2:11" x14ac:dyDescent="0.25">
      <c r="B653" s="966"/>
      <c r="C653" s="966"/>
      <c r="D653" s="966"/>
      <c r="E653" s="966"/>
      <c r="F653" s="966"/>
      <c r="G653" s="966"/>
      <c r="H653" s="498"/>
      <c r="I653" s="70"/>
      <c r="J653" s="70"/>
      <c r="K653" s="70"/>
    </row>
    <row r="654" spans="2:11" ht="129" customHeight="1" x14ac:dyDescent="0.25">
      <c r="B654" s="966" t="s">
        <v>7209</v>
      </c>
      <c r="C654" s="966"/>
      <c r="D654" s="966"/>
      <c r="E654" s="966"/>
      <c r="F654" s="966"/>
      <c r="G654" s="966"/>
      <c r="H654" s="498"/>
      <c r="I654" s="70"/>
      <c r="J654" s="70"/>
      <c r="K654" s="70"/>
    </row>
    <row r="655" spans="2:11" x14ac:dyDescent="0.25">
      <c r="B655" s="966"/>
      <c r="C655" s="966"/>
      <c r="D655" s="966"/>
      <c r="E655" s="966"/>
      <c r="F655" s="966"/>
      <c r="G655" s="966"/>
      <c r="H655" s="498"/>
      <c r="I655" s="70"/>
      <c r="J655" s="70"/>
      <c r="K655" s="70"/>
    </row>
    <row r="656" spans="2:11" ht="322.5" customHeight="1" x14ac:dyDescent="0.25">
      <c r="B656" s="966" t="s">
        <v>7069</v>
      </c>
      <c r="C656" s="966"/>
      <c r="D656" s="966"/>
      <c r="E656" s="966"/>
      <c r="F656" s="966"/>
      <c r="G656" s="966"/>
      <c r="H656" s="498"/>
      <c r="I656" s="70"/>
      <c r="J656" s="70"/>
      <c r="K656" s="70"/>
    </row>
    <row r="657" spans="2:74" x14ac:dyDescent="0.25">
      <c r="B657" s="966"/>
      <c r="C657" s="966"/>
      <c r="D657" s="966"/>
      <c r="E657" s="966"/>
      <c r="F657" s="966"/>
      <c r="G657" s="966"/>
      <c r="H657" s="498"/>
      <c r="I657" s="70"/>
      <c r="J657" s="70"/>
      <c r="K657" s="70"/>
      <c r="BH657" s="651"/>
    </row>
    <row r="658" spans="2:74" ht="42" customHeight="1" x14ac:dyDescent="0.25">
      <c r="B658" s="966"/>
      <c r="C658" s="966"/>
      <c r="D658" s="966"/>
      <c r="E658" s="966"/>
      <c r="F658" s="966"/>
      <c r="G658" s="966"/>
      <c r="H658" s="498"/>
      <c r="I658" s="70"/>
      <c r="J658" s="70"/>
      <c r="K658" s="70"/>
      <c r="AX658" s="866" t="s">
        <v>7070</v>
      </c>
      <c r="AY658" s="867"/>
      <c r="AZ658" s="868" t="s">
        <v>7071</v>
      </c>
      <c r="BA658" s="867"/>
      <c r="BB658" s="868" t="s">
        <v>7078</v>
      </c>
      <c r="BC658" s="867"/>
      <c r="BD658" s="868" t="s">
        <v>7079</v>
      </c>
      <c r="BE658" s="867"/>
      <c r="BF658" s="868" t="s">
        <v>6957</v>
      </c>
      <c r="BG658" s="867"/>
      <c r="BH658" s="868" t="s">
        <v>7072</v>
      </c>
      <c r="BI658" s="867"/>
      <c r="BJ658" s="868" t="e">
        <f>#REF!</f>
        <v>#REF!</v>
      </c>
      <c r="BK658" s="867"/>
      <c r="BL658" s="868" t="s">
        <v>7073</v>
      </c>
      <c r="BM658" s="867"/>
      <c r="BN658" s="869" t="s">
        <v>4503</v>
      </c>
    </row>
    <row r="659" spans="2:74" x14ac:dyDescent="0.25">
      <c r="B659" s="966"/>
      <c r="C659" s="966"/>
      <c r="D659" s="966"/>
      <c r="E659" s="966"/>
      <c r="F659" s="966"/>
      <c r="G659" s="966"/>
      <c r="H659" s="498"/>
      <c r="I659" s="70"/>
      <c r="J659" s="70"/>
      <c r="K659" s="70"/>
      <c r="AX659" s="870" t="s">
        <v>7074</v>
      </c>
      <c r="AY659" s="959"/>
      <c r="AZ659" s="959"/>
      <c r="BA659" s="959"/>
      <c r="BB659" s="959"/>
      <c r="BC659" s="959"/>
      <c r="BD659" s="959"/>
      <c r="BE659" s="959"/>
      <c r="BF659" s="959"/>
      <c r="BG659" s="959"/>
      <c r="BH659" s="959"/>
      <c r="BI659" s="959"/>
      <c r="BJ659" s="959"/>
      <c r="BK659" s="967"/>
      <c r="BL659" s="967"/>
      <c r="BM659" s="967"/>
      <c r="BN659" s="968"/>
    </row>
    <row r="660" spans="2:74" x14ac:dyDescent="0.25">
      <c r="B660" s="966"/>
      <c r="C660" s="966"/>
      <c r="D660" s="966"/>
      <c r="E660" s="966"/>
      <c r="F660" s="966"/>
      <c r="G660" s="966"/>
      <c r="H660" s="498"/>
      <c r="I660" s="70"/>
      <c r="J660" s="70"/>
      <c r="K660" s="70"/>
      <c r="AX660" s="871" t="s">
        <v>7075</v>
      </c>
      <c r="AY660" s="674"/>
      <c r="AZ660" s="804">
        <v>355785</v>
      </c>
      <c r="BA660" s="872"/>
      <c r="BB660" s="804">
        <v>29567</v>
      </c>
      <c r="BC660" s="872"/>
      <c r="BD660" s="804">
        <v>0</v>
      </c>
      <c r="BE660" s="872"/>
      <c r="BF660" s="804">
        <v>27195</v>
      </c>
      <c r="BG660" s="872"/>
      <c r="BH660" s="804">
        <v>15565</v>
      </c>
      <c r="BI660" s="872"/>
      <c r="BJ660" s="804">
        <v>9665</v>
      </c>
      <c r="BK660" s="674"/>
      <c r="BL660" s="675">
        <v>0</v>
      </c>
      <c r="BM660" s="674"/>
      <c r="BN660" s="873">
        <f>SUM(AZ660:BL660)</f>
        <v>437777</v>
      </c>
    </row>
    <row r="661" spans="2:74" x14ac:dyDescent="0.25">
      <c r="B661" s="966"/>
      <c r="C661" s="966"/>
      <c r="D661" s="966"/>
      <c r="E661" s="966"/>
      <c r="F661" s="966"/>
      <c r="G661" s="966"/>
      <c r="H661" s="498"/>
      <c r="I661" s="70"/>
      <c r="J661" s="70"/>
      <c r="K661" s="70"/>
      <c r="AX661" s="870" t="s">
        <v>7076</v>
      </c>
      <c r="AY661" s="969"/>
      <c r="AZ661" s="969"/>
      <c r="BA661" s="969"/>
      <c r="BB661" s="969"/>
      <c r="BC661" s="969"/>
      <c r="BD661" s="969"/>
      <c r="BE661" s="969"/>
      <c r="BF661" s="969"/>
      <c r="BG661" s="969"/>
      <c r="BH661" s="969"/>
      <c r="BI661" s="969"/>
      <c r="BJ661" s="969"/>
      <c r="BK661" s="969"/>
      <c r="BL661" s="969"/>
      <c r="BM661" s="969"/>
      <c r="BN661" s="970"/>
    </row>
    <row r="662" spans="2:74" x14ac:dyDescent="0.25">
      <c r="B662" s="966"/>
      <c r="C662" s="966"/>
      <c r="D662" s="966"/>
      <c r="E662" s="966"/>
      <c r="F662" s="966"/>
      <c r="G662" s="966"/>
      <c r="H662" s="498"/>
      <c r="I662" s="70"/>
      <c r="J662" s="70"/>
      <c r="K662" s="70"/>
      <c r="AX662" s="874" t="s">
        <v>7077</v>
      </c>
      <c r="AY662" s="674"/>
      <c r="AZ662" s="804">
        <v>0</v>
      </c>
      <c r="BA662" s="872"/>
      <c r="BB662" s="804">
        <v>-33</v>
      </c>
      <c r="BC662" s="872"/>
      <c r="BD662" s="804">
        <v>-1890</v>
      </c>
      <c r="BE662" s="872"/>
      <c r="BF662" s="804">
        <v>-2351</v>
      </c>
      <c r="BG662" s="872"/>
      <c r="BH662" s="804">
        <v>-33627</v>
      </c>
      <c r="BI662" s="872"/>
      <c r="BJ662" s="804">
        <v>0</v>
      </c>
      <c r="BK662" s="872"/>
      <c r="BL662" s="804">
        <v>-286335</v>
      </c>
      <c r="BM662" s="674"/>
      <c r="BN662" s="873">
        <f>SUM(AZ662:BL662)</f>
        <v>-324236</v>
      </c>
    </row>
    <row r="663" spans="2:74" x14ac:dyDescent="0.25">
      <c r="B663" s="966"/>
      <c r="C663" s="966"/>
      <c r="D663" s="966"/>
      <c r="E663" s="966"/>
      <c r="F663" s="966"/>
      <c r="G663" s="966"/>
      <c r="H663" s="498"/>
      <c r="I663" s="70"/>
      <c r="J663" s="70"/>
      <c r="K663" s="70"/>
      <c r="AX663" s="875" t="s">
        <v>7315</v>
      </c>
      <c r="AY663" s="876"/>
      <c r="AZ663" s="877">
        <f>AZ660+AZ662</f>
        <v>355785</v>
      </c>
      <c r="BA663" s="876"/>
      <c r="BB663" s="877">
        <f>BB660+BB662</f>
        <v>29534</v>
      </c>
      <c r="BC663" s="876"/>
      <c r="BD663" s="877">
        <f>BD660+BD662</f>
        <v>-1890</v>
      </c>
      <c r="BE663" s="876"/>
      <c r="BF663" s="877">
        <f>BF660+BF662</f>
        <v>24844</v>
      </c>
      <c r="BG663" s="876"/>
      <c r="BH663" s="877">
        <f>BH660+BH662</f>
        <v>-18062</v>
      </c>
      <c r="BI663" s="876"/>
      <c r="BJ663" s="877">
        <f>BJ660+BJ662</f>
        <v>9665</v>
      </c>
      <c r="BK663" s="876"/>
      <c r="BL663" s="877">
        <f>BL660+BL662</f>
        <v>-286335</v>
      </c>
      <c r="BM663" s="876"/>
      <c r="BN663" s="878">
        <f>BN660+BN662</f>
        <v>113541</v>
      </c>
      <c r="BP663" s="649" t="s">
        <v>7111</v>
      </c>
    </row>
    <row r="664" spans="2:74" x14ac:dyDescent="0.25">
      <c r="B664" s="966"/>
      <c r="C664" s="966"/>
      <c r="D664" s="966"/>
      <c r="E664" s="966"/>
      <c r="F664" s="966"/>
      <c r="G664" s="966"/>
      <c r="H664" s="498"/>
      <c r="I664" s="70"/>
      <c r="J664" s="70"/>
      <c r="K664" s="70"/>
    </row>
    <row r="665" spans="2:74" x14ac:dyDescent="0.25">
      <c r="B665" s="966"/>
      <c r="C665" s="966"/>
      <c r="D665" s="966"/>
      <c r="E665" s="966"/>
      <c r="F665" s="966"/>
      <c r="G665" s="966"/>
      <c r="H665" s="498"/>
      <c r="I665" s="70"/>
      <c r="J665" s="70"/>
      <c r="K665" s="70"/>
    </row>
    <row r="666" spans="2:74" x14ac:dyDescent="0.25">
      <c r="B666" s="965" t="s">
        <v>7305</v>
      </c>
      <c r="C666" s="965"/>
      <c r="D666" s="965"/>
      <c r="E666" s="965"/>
      <c r="F666" s="965"/>
      <c r="G666" s="965"/>
      <c r="H666" s="812"/>
      <c r="I666" s="70"/>
      <c r="J666" s="70"/>
      <c r="K666" s="70"/>
    </row>
    <row r="667" spans="2:74" ht="78" customHeight="1" x14ac:dyDescent="0.25">
      <c r="B667" s="966" t="s">
        <v>7210</v>
      </c>
      <c r="C667" s="966"/>
      <c r="D667" s="966"/>
      <c r="E667" s="966"/>
      <c r="F667" s="966"/>
      <c r="G667" s="966"/>
      <c r="H667" s="498"/>
      <c r="I667" s="70"/>
      <c r="J667" s="70"/>
      <c r="K667" s="70"/>
    </row>
    <row r="668" spans="2:74" x14ac:dyDescent="0.25">
      <c r="B668" s="763"/>
      <c r="C668" s="763"/>
      <c r="D668" s="763"/>
      <c r="E668" s="763"/>
      <c r="F668" s="763"/>
      <c r="G668" s="763"/>
      <c r="H668" s="763"/>
      <c r="I668" s="70"/>
      <c r="J668" s="70"/>
      <c r="K668" s="70"/>
    </row>
    <row r="669" spans="2:74" x14ac:dyDescent="0.25">
      <c r="B669" s="964"/>
      <c r="C669" s="964"/>
      <c r="D669" s="964"/>
      <c r="E669" s="964"/>
      <c r="F669" s="964"/>
      <c r="G669" s="964"/>
      <c r="H669" s="763"/>
      <c r="I669" s="70"/>
      <c r="J669" s="70"/>
      <c r="K669" s="70"/>
      <c r="BP669" s="879"/>
      <c r="BQ669" s="880"/>
      <c r="BR669" s="962" t="s">
        <v>7103</v>
      </c>
      <c r="BS669" s="962"/>
      <c r="BT669" s="962"/>
      <c r="BU669" s="962"/>
      <c r="BV669" s="963"/>
    </row>
    <row r="670" spans="2:74" x14ac:dyDescent="0.25">
      <c r="B670" s="766"/>
      <c r="C670" s="766"/>
      <c r="D670" s="766"/>
      <c r="E670" s="766"/>
      <c r="F670" s="766"/>
      <c r="G670" s="766"/>
      <c r="H670" s="766"/>
      <c r="I670" s="70"/>
      <c r="J670" s="70"/>
      <c r="K670" s="70"/>
      <c r="BP670" s="881"/>
      <c r="BQ670" s="607"/>
      <c r="BR670" s="606" t="s">
        <v>7084</v>
      </c>
      <c r="BS670" s="607"/>
      <c r="BT670" s="606" t="s">
        <v>4522</v>
      </c>
      <c r="BU670" s="607"/>
      <c r="BV670" s="882" t="s">
        <v>4523</v>
      </c>
    </row>
    <row r="671" spans="2:74" x14ac:dyDescent="0.25">
      <c r="B671" s="766"/>
      <c r="C671" s="766"/>
      <c r="D671" s="766"/>
      <c r="E671" s="766"/>
      <c r="F671" s="766"/>
      <c r="G671" s="766"/>
      <c r="H671" s="766"/>
      <c r="I671" s="70"/>
      <c r="J671" s="70"/>
      <c r="K671" s="70"/>
      <c r="BP671" s="883" t="s">
        <v>7085</v>
      </c>
      <c r="BQ671" s="378"/>
      <c r="BR671" s="827">
        <v>37138.17</v>
      </c>
      <c r="BS671" s="832"/>
      <c r="BT671" s="827">
        <v>37138.17</v>
      </c>
      <c r="BU671" s="827"/>
      <c r="BV671" s="884">
        <v>37138.17</v>
      </c>
    </row>
    <row r="672" spans="2:74" x14ac:dyDescent="0.25">
      <c r="B672" s="766"/>
      <c r="C672" s="766"/>
      <c r="D672" s="766"/>
      <c r="E672" s="766"/>
      <c r="F672" s="766"/>
      <c r="G672" s="766"/>
      <c r="H672" s="766"/>
      <c r="I672" s="70"/>
      <c r="J672" s="70"/>
      <c r="K672" s="70"/>
      <c r="BP672" s="883" t="s">
        <v>4524</v>
      </c>
      <c r="BQ672" s="378"/>
      <c r="BR672" s="827">
        <v>18314.96</v>
      </c>
      <c r="BS672" s="832"/>
      <c r="BT672" s="827">
        <v>46366.19</v>
      </c>
      <c r="BU672" s="832"/>
      <c r="BV672" s="884">
        <v>4642.09</v>
      </c>
    </row>
    <row r="673" spans="2:76" x14ac:dyDescent="0.25">
      <c r="B673" s="766"/>
      <c r="C673" s="766"/>
      <c r="D673" s="766"/>
      <c r="E673" s="766"/>
      <c r="F673" s="766"/>
      <c r="G673" s="766"/>
      <c r="H673" s="766"/>
      <c r="I673" s="70"/>
      <c r="J673" s="70"/>
      <c r="K673" s="70"/>
      <c r="BP673" s="883" t="s">
        <v>7086</v>
      </c>
      <c r="BQ673" s="610"/>
      <c r="BR673" s="827">
        <v>4023.3</v>
      </c>
      <c r="BS673" s="829"/>
      <c r="BT673" s="828"/>
      <c r="BU673" s="829"/>
      <c r="BV673" s="885"/>
    </row>
    <row r="674" spans="2:76" x14ac:dyDescent="0.25">
      <c r="B674" s="766"/>
      <c r="C674" s="766"/>
      <c r="D674" s="766"/>
      <c r="E674" s="766"/>
      <c r="F674" s="766"/>
      <c r="G674" s="766"/>
      <c r="H674" s="766"/>
      <c r="I674" s="70"/>
      <c r="J674" s="70"/>
      <c r="K674" s="70"/>
      <c r="BP674" s="883" t="s">
        <v>7087</v>
      </c>
      <c r="BQ674" s="378"/>
      <c r="BR674" s="827">
        <v>4023.3</v>
      </c>
      <c r="BS674" s="829"/>
      <c r="BT674" s="830"/>
      <c r="BU674" s="829"/>
      <c r="BV674" s="886"/>
    </row>
    <row r="675" spans="2:76" x14ac:dyDescent="0.25">
      <c r="B675" s="766"/>
      <c r="C675" s="766"/>
      <c r="D675" s="766"/>
      <c r="E675" s="766"/>
      <c r="F675" s="766"/>
      <c r="G675" s="766"/>
      <c r="H675" s="766"/>
      <c r="I675" s="70"/>
      <c r="J675" s="70"/>
      <c r="K675" s="70"/>
      <c r="BP675" s="883" t="s">
        <v>7254</v>
      </c>
      <c r="BQ675" s="378"/>
      <c r="BR675" s="827">
        <v>4363.8599999999997</v>
      </c>
      <c r="BS675" s="832"/>
      <c r="BT675" s="831"/>
      <c r="BU675" s="832"/>
      <c r="BV675" s="887"/>
    </row>
    <row r="676" spans="2:76" x14ac:dyDescent="0.25">
      <c r="B676" s="766"/>
      <c r="C676" s="766"/>
      <c r="D676" s="766"/>
      <c r="E676" s="766"/>
      <c r="F676" s="766"/>
      <c r="G676" s="766"/>
      <c r="H676" s="766"/>
      <c r="I676" s="70"/>
      <c r="J676" s="70"/>
      <c r="K676" s="70"/>
      <c r="BP676" s="526" t="s">
        <v>7255</v>
      </c>
      <c r="BQ676" s="70"/>
      <c r="BR676" s="888"/>
      <c r="BS676" s="888"/>
      <c r="BT676" s="888"/>
      <c r="BU676" s="888"/>
      <c r="BV676" s="889"/>
    </row>
    <row r="677" spans="2:76" x14ac:dyDescent="0.25">
      <c r="B677" s="766"/>
      <c r="C677" s="766"/>
      <c r="D677" s="766"/>
      <c r="E677" s="766"/>
      <c r="F677" s="766"/>
      <c r="G677" s="766"/>
      <c r="H677" s="766"/>
      <c r="I677" s="70"/>
      <c r="J677" s="70"/>
      <c r="K677" s="70"/>
      <c r="BP677" s="526" t="s">
        <v>7256</v>
      </c>
      <c r="BQ677" s="70"/>
      <c r="BR677" s="831">
        <v>4023.3</v>
      </c>
      <c r="BS677" s="888"/>
      <c r="BT677" s="888"/>
      <c r="BU677" s="888"/>
      <c r="BV677" s="889"/>
    </row>
    <row r="678" spans="2:76" ht="30" customHeight="1" x14ac:dyDescent="0.25">
      <c r="B678" s="766"/>
      <c r="C678" s="766"/>
      <c r="D678" s="766"/>
      <c r="E678" s="766"/>
      <c r="F678" s="766"/>
      <c r="G678" s="766"/>
      <c r="H678" s="766"/>
      <c r="I678" s="70"/>
      <c r="J678" s="70"/>
      <c r="K678" s="70"/>
      <c r="BP678" s="890" t="s">
        <v>7104</v>
      </c>
      <c r="BQ678" s="612"/>
      <c r="BR678" s="613"/>
      <c r="BS678" s="805"/>
      <c r="BT678" s="613"/>
      <c r="BU678" s="805"/>
      <c r="BV678" s="891" t="s">
        <v>7213</v>
      </c>
    </row>
    <row r="679" spans="2:76" x14ac:dyDescent="0.25">
      <c r="B679" s="766"/>
      <c r="C679" s="766"/>
      <c r="D679" s="766"/>
      <c r="E679" s="766"/>
      <c r="F679" s="766"/>
      <c r="G679" s="766"/>
      <c r="H679" s="766"/>
      <c r="I679" s="70"/>
      <c r="J679" s="70"/>
      <c r="K679" s="70"/>
      <c r="BP679" s="526" t="s">
        <v>7088</v>
      </c>
      <c r="BQ679" s="70"/>
      <c r="BR679" s="892"/>
      <c r="BS679" s="892"/>
      <c r="BT679" s="892"/>
      <c r="BU679" s="892"/>
      <c r="BV679" s="893">
        <v>11354</v>
      </c>
      <c r="BX679" s="765"/>
    </row>
    <row r="680" spans="2:76" x14ac:dyDescent="0.25">
      <c r="B680" s="766"/>
      <c r="C680" s="766"/>
      <c r="D680" s="766"/>
      <c r="E680" s="766"/>
      <c r="F680" s="766"/>
      <c r="G680" s="766"/>
      <c r="H680" s="766"/>
      <c r="I680" s="70"/>
      <c r="J680" s="70"/>
      <c r="K680" s="70"/>
      <c r="BP680" s="526" t="s">
        <v>7081</v>
      </c>
      <c r="BQ680" s="70"/>
      <c r="BR680" s="892"/>
      <c r="BS680" s="892"/>
      <c r="BT680" s="892"/>
      <c r="BU680" s="892"/>
      <c r="BV680" s="893">
        <v>7104</v>
      </c>
      <c r="BX680" s="765"/>
    </row>
    <row r="681" spans="2:76" x14ac:dyDescent="0.25">
      <c r="B681" s="766"/>
      <c r="C681" s="766"/>
      <c r="D681" s="766"/>
      <c r="E681" s="766"/>
      <c r="F681" s="766"/>
      <c r="G681" s="766"/>
      <c r="H681" s="766"/>
      <c r="I681" s="70"/>
      <c r="J681" s="70"/>
      <c r="K681" s="70"/>
      <c r="BP681" s="526" t="s">
        <v>7089</v>
      </c>
      <c r="BQ681" s="70"/>
      <c r="BR681" s="892"/>
      <c r="BS681" s="892"/>
      <c r="BT681" s="892"/>
      <c r="BU681" s="892"/>
      <c r="BV681" s="893">
        <v>0</v>
      </c>
      <c r="BX681" s="765"/>
    </row>
    <row r="682" spans="2:76" x14ac:dyDescent="0.25">
      <c r="B682" s="766"/>
      <c r="C682" s="766"/>
      <c r="D682" s="766"/>
      <c r="E682" s="766"/>
      <c r="F682" s="766"/>
      <c r="G682" s="766"/>
      <c r="H682" s="766"/>
      <c r="I682" s="70"/>
      <c r="J682" s="70"/>
      <c r="K682" s="70"/>
      <c r="BP682" s="526" t="s">
        <v>7090</v>
      </c>
      <c r="BQ682" s="70"/>
      <c r="BR682" s="892"/>
      <c r="BS682" s="892"/>
      <c r="BT682" s="892"/>
      <c r="BU682" s="892"/>
      <c r="BV682" s="893">
        <v>449</v>
      </c>
      <c r="BX682" s="765"/>
    </row>
    <row r="683" spans="2:76" x14ac:dyDescent="0.25">
      <c r="B683" s="766"/>
      <c r="C683" s="766"/>
      <c r="D683" s="766"/>
      <c r="E683" s="766"/>
      <c r="F683" s="766"/>
      <c r="G683" s="766"/>
      <c r="H683" s="766"/>
      <c r="I683" s="70"/>
      <c r="J683" s="70"/>
      <c r="K683" s="70"/>
      <c r="BP683" s="526" t="s">
        <v>7091</v>
      </c>
      <c r="BQ683" s="70"/>
      <c r="BR683" s="892"/>
      <c r="BS683" s="892"/>
      <c r="BT683" s="892"/>
      <c r="BU683" s="892"/>
      <c r="BV683" s="893">
        <v>9918</v>
      </c>
      <c r="BX683" s="765"/>
    </row>
    <row r="684" spans="2:76" x14ac:dyDescent="0.25">
      <c r="B684" s="766"/>
      <c r="C684" s="766"/>
      <c r="D684" s="766"/>
      <c r="E684" s="766"/>
      <c r="F684" s="766"/>
      <c r="G684" s="766"/>
      <c r="H684" s="766"/>
      <c r="I684" s="70"/>
      <c r="J684" s="70"/>
      <c r="K684" s="70"/>
      <c r="BP684" s="526" t="s">
        <v>7092</v>
      </c>
      <c r="BQ684" s="70"/>
      <c r="BR684" s="892"/>
      <c r="BS684" s="892"/>
      <c r="BT684" s="892"/>
      <c r="BU684" s="892"/>
      <c r="BV684" s="893">
        <v>15750</v>
      </c>
      <c r="BX684" s="765"/>
    </row>
    <row r="685" spans="2:76" ht="15.75" customHeight="1" x14ac:dyDescent="0.25">
      <c r="B685" s="766"/>
      <c r="C685" s="766"/>
      <c r="D685" s="766"/>
      <c r="E685" s="766"/>
      <c r="F685" s="766"/>
      <c r="G685" s="766"/>
      <c r="H685" s="766"/>
      <c r="I685" s="70"/>
      <c r="J685" s="70"/>
      <c r="K685" s="70"/>
      <c r="BP685" s="960" t="s">
        <v>7326</v>
      </c>
      <c r="BQ685" s="961"/>
      <c r="BR685" s="961"/>
      <c r="BS685" s="961"/>
      <c r="BT685" s="961"/>
      <c r="BU685" s="894"/>
      <c r="BV685" s="895">
        <v>2</v>
      </c>
      <c r="BX685" s="765"/>
    </row>
    <row r="686" spans="2:76" x14ac:dyDescent="0.25">
      <c r="B686" s="964"/>
      <c r="C686" s="964"/>
      <c r="D686" s="964"/>
      <c r="E686" s="964"/>
      <c r="F686" s="964"/>
      <c r="G686" s="964"/>
      <c r="H686" s="763"/>
      <c r="I686" s="70"/>
      <c r="J686" s="70"/>
      <c r="K686" s="70"/>
    </row>
    <row r="687" spans="2:76" x14ac:dyDescent="0.25">
      <c r="B687" s="965" t="s">
        <v>7306</v>
      </c>
      <c r="C687" s="965"/>
      <c r="D687" s="965"/>
      <c r="E687" s="965"/>
      <c r="F687" s="965"/>
      <c r="G687" s="965"/>
      <c r="H687" s="812"/>
      <c r="I687" s="70"/>
      <c r="J687" s="70"/>
      <c r="K687" s="70"/>
    </row>
    <row r="688" spans="2:76" ht="54.75" customHeight="1" x14ac:dyDescent="0.25">
      <c r="B688" s="966" t="s">
        <v>7298</v>
      </c>
      <c r="C688" s="966"/>
      <c r="D688" s="966"/>
      <c r="E688" s="966"/>
      <c r="F688" s="966"/>
      <c r="G688" s="763"/>
      <c r="H688" s="763"/>
      <c r="I688" s="70"/>
      <c r="J688" s="70"/>
      <c r="K688" s="70"/>
    </row>
    <row r="689" spans="2:11" x14ac:dyDescent="0.25">
      <c r="B689" s="966"/>
      <c r="C689" s="966"/>
      <c r="D689" s="966"/>
      <c r="E689" s="966"/>
      <c r="F689" s="966"/>
      <c r="G689" s="763"/>
      <c r="H689" s="763"/>
      <c r="I689" s="70"/>
      <c r="J689" s="70"/>
      <c r="K689" s="70"/>
    </row>
    <row r="690" spans="2:11" ht="20.25" customHeight="1" x14ac:dyDescent="0.25">
      <c r="B690" s="498"/>
      <c r="C690" s="498"/>
      <c r="D690" s="498"/>
      <c r="E690" s="498"/>
      <c r="F690" s="498"/>
      <c r="G690" s="763"/>
      <c r="H690" s="763"/>
      <c r="I690" s="70"/>
      <c r="J690" s="70"/>
      <c r="K690" s="70"/>
    </row>
    <row r="691" spans="2:11" ht="20.25" customHeight="1" x14ac:dyDescent="0.25">
      <c r="B691" s="498"/>
      <c r="C691" s="498"/>
      <c r="D691" s="498"/>
      <c r="E691" s="498"/>
      <c r="F691" s="498"/>
      <c r="G691" s="763"/>
      <c r="H691" s="763"/>
      <c r="I691" s="70"/>
      <c r="J691" s="70"/>
      <c r="K691" s="70"/>
    </row>
    <row r="692" spans="2:11" ht="20.25" customHeight="1" x14ac:dyDescent="0.25">
      <c r="B692" s="498"/>
      <c r="C692" s="498"/>
      <c r="D692" s="498"/>
      <c r="E692" s="498"/>
      <c r="F692" s="498"/>
      <c r="G692" s="763"/>
      <c r="H692" s="763"/>
      <c r="I692" s="70"/>
      <c r="J692" s="70"/>
      <c r="K692" s="70"/>
    </row>
    <row r="693" spans="2:11" ht="20.25" customHeight="1" x14ac:dyDescent="0.25">
      <c r="B693" s="498"/>
      <c r="C693" s="498"/>
      <c r="D693" s="498"/>
      <c r="E693" s="498"/>
      <c r="F693" s="498"/>
      <c r="G693" s="763"/>
      <c r="H693" s="763"/>
      <c r="I693" s="70"/>
      <c r="J693" s="70"/>
      <c r="K693" s="70"/>
    </row>
    <row r="694" spans="2:11" ht="20.25" customHeight="1" x14ac:dyDescent="0.25">
      <c r="B694" s="498"/>
      <c r="C694" s="498"/>
      <c r="D694" s="498"/>
      <c r="E694" s="498"/>
      <c r="F694" s="498"/>
      <c r="G694" s="763"/>
      <c r="H694" s="763"/>
      <c r="I694" s="70"/>
      <c r="J694" s="70"/>
      <c r="K694" s="70"/>
    </row>
    <row r="695" spans="2:11" ht="20.25" customHeight="1" x14ac:dyDescent="0.25">
      <c r="B695" s="498"/>
      <c r="C695" s="498"/>
      <c r="D695" s="498"/>
      <c r="E695" s="498"/>
      <c r="F695" s="498"/>
      <c r="G695" s="763"/>
      <c r="H695" s="763"/>
      <c r="I695" s="70"/>
      <c r="J695" s="70"/>
      <c r="K695" s="70"/>
    </row>
    <row r="696" spans="2:11" ht="20.25" customHeight="1" x14ac:dyDescent="0.25">
      <c r="B696" s="498"/>
      <c r="C696" s="498"/>
      <c r="D696" s="498"/>
      <c r="E696" s="498"/>
      <c r="F696" s="498"/>
      <c r="G696" s="763"/>
      <c r="H696" s="763"/>
      <c r="I696" s="70"/>
      <c r="J696" s="70"/>
      <c r="K696" s="70"/>
    </row>
    <row r="697" spans="2:11" ht="20.25" customHeight="1" x14ac:dyDescent="0.25">
      <c r="B697" s="498"/>
      <c r="C697" s="498"/>
      <c r="D697" s="498"/>
      <c r="E697" s="498"/>
      <c r="F697" s="498"/>
      <c r="G697" s="763"/>
      <c r="H697" s="763"/>
      <c r="I697" s="70"/>
      <c r="J697" s="70"/>
      <c r="K697" s="70"/>
    </row>
    <row r="698" spans="2:11" ht="20.25" customHeight="1" x14ac:dyDescent="0.25">
      <c r="B698" s="498"/>
      <c r="C698" s="498"/>
      <c r="D698" s="498"/>
      <c r="E698" s="498"/>
      <c r="F698" s="498"/>
      <c r="G698" s="763"/>
      <c r="H698" s="763"/>
      <c r="I698" s="70"/>
      <c r="J698" s="70"/>
      <c r="K698" s="70"/>
    </row>
    <row r="699" spans="2:11" ht="20.25" customHeight="1" x14ac:dyDescent="0.25">
      <c r="B699" s="498"/>
      <c r="C699" s="498"/>
      <c r="D699" s="498"/>
      <c r="E699" s="498"/>
      <c r="F699" s="498"/>
      <c r="G699" s="763"/>
      <c r="H699" s="763"/>
      <c r="I699" s="70"/>
      <c r="J699" s="70"/>
      <c r="K699" s="70"/>
    </row>
    <row r="700" spans="2:11" ht="20.25" customHeight="1" x14ac:dyDescent="0.25">
      <c r="B700" s="498"/>
      <c r="C700" s="498"/>
      <c r="D700" s="498"/>
      <c r="E700" s="498"/>
      <c r="F700" s="498"/>
      <c r="G700" s="763"/>
      <c r="H700" s="763"/>
      <c r="I700" s="70"/>
      <c r="J700" s="70"/>
      <c r="K700" s="70"/>
    </row>
    <row r="701" spans="2:11" ht="20.25" customHeight="1" x14ac:dyDescent="0.25">
      <c r="B701" s="498"/>
      <c r="C701" s="498"/>
      <c r="D701" s="498"/>
      <c r="E701" s="498"/>
      <c r="F701" s="498"/>
      <c r="G701" s="763"/>
      <c r="H701" s="763"/>
      <c r="I701" s="70"/>
      <c r="J701" s="70"/>
      <c r="K701" s="70"/>
    </row>
    <row r="702" spans="2:11" ht="20.25" customHeight="1" x14ac:dyDescent="0.25">
      <c r="B702" s="498"/>
      <c r="C702" s="498"/>
      <c r="D702" s="498"/>
      <c r="E702" s="498"/>
      <c r="F702" s="498"/>
      <c r="G702" s="763"/>
      <c r="H702" s="763"/>
      <c r="I702" s="70"/>
      <c r="J702" s="70"/>
      <c r="K702" s="70"/>
    </row>
    <row r="703" spans="2:11" ht="20.25" customHeight="1" x14ac:dyDescent="0.25">
      <c r="B703" s="498"/>
      <c r="C703" s="498"/>
      <c r="D703" s="498"/>
      <c r="E703" s="498"/>
      <c r="F703" s="498"/>
      <c r="G703" s="763"/>
      <c r="H703" s="763"/>
      <c r="I703" s="70"/>
      <c r="J703" s="70"/>
      <c r="K703" s="70"/>
    </row>
    <row r="704" spans="2:11" ht="20.25" customHeight="1" x14ac:dyDescent="0.25">
      <c r="B704" s="498"/>
      <c r="C704" s="498"/>
      <c r="D704" s="498"/>
      <c r="E704" s="498"/>
      <c r="F704" s="498"/>
      <c r="G704" s="763"/>
      <c r="H704" s="763"/>
      <c r="I704" s="70"/>
      <c r="J704" s="70"/>
      <c r="K704" s="70"/>
    </row>
    <row r="705" spans="2:11" ht="20.25" customHeight="1" x14ac:dyDescent="0.25">
      <c r="B705" s="498"/>
      <c r="C705" s="498"/>
      <c r="D705" s="498"/>
      <c r="E705" s="498"/>
      <c r="F705" s="498"/>
      <c r="G705" s="763"/>
      <c r="H705" s="763"/>
      <c r="I705" s="70"/>
      <c r="J705" s="70"/>
      <c r="K705" s="70"/>
    </row>
    <row r="706" spans="2:11" ht="20.25" customHeight="1" x14ac:dyDescent="0.25">
      <c r="B706" s="498"/>
      <c r="C706" s="498"/>
      <c r="D706" s="498"/>
      <c r="E706" s="498"/>
      <c r="F706" s="498"/>
      <c r="G706" s="763"/>
      <c r="H706" s="763"/>
      <c r="I706" s="70"/>
      <c r="J706" s="70"/>
      <c r="K706" s="70"/>
    </row>
    <row r="707" spans="2:11" ht="20.25" customHeight="1" x14ac:dyDescent="0.25">
      <c r="B707" s="498"/>
      <c r="C707" s="498"/>
      <c r="D707" s="498"/>
      <c r="E707" s="498"/>
      <c r="F707" s="498"/>
      <c r="G707" s="763"/>
      <c r="H707" s="763"/>
      <c r="I707" s="70"/>
      <c r="J707" s="70"/>
      <c r="K707" s="70"/>
    </row>
    <row r="708" spans="2:11" ht="18.75" customHeight="1" x14ac:dyDescent="0.25">
      <c r="B708" s="763"/>
      <c r="C708" s="763"/>
      <c r="D708" s="763"/>
      <c r="E708" s="763"/>
      <c r="F708" s="763"/>
      <c r="G708" s="763"/>
      <c r="H708" s="763"/>
      <c r="I708" s="70"/>
      <c r="J708" s="70"/>
      <c r="K708" s="70"/>
    </row>
    <row r="709" spans="2:11" ht="15.75" customHeight="1" x14ac:dyDescent="0.25">
      <c r="B709" s="965" t="s">
        <v>7273</v>
      </c>
      <c r="C709" s="965"/>
      <c r="D709" s="965"/>
      <c r="E709" s="965"/>
      <c r="F709" s="965"/>
      <c r="G709" s="965"/>
      <c r="H709" s="812"/>
      <c r="I709" s="70"/>
      <c r="J709" s="70"/>
      <c r="K709" s="70"/>
    </row>
    <row r="710" spans="2:11" ht="51.75" customHeight="1" x14ac:dyDescent="0.25">
      <c r="B710" s="966" t="s">
        <v>7093</v>
      </c>
      <c r="C710" s="966"/>
      <c r="D710" s="966"/>
      <c r="E710" s="966"/>
      <c r="F710" s="966"/>
      <c r="G710" s="966"/>
      <c r="H710" s="498"/>
      <c r="I710" s="70"/>
      <c r="J710" s="70"/>
      <c r="K710" s="70"/>
    </row>
    <row r="711" spans="2:11" x14ac:dyDescent="0.25">
      <c r="B711" s="966"/>
      <c r="C711" s="966"/>
      <c r="D711" s="966"/>
      <c r="E711" s="966"/>
      <c r="F711" s="966"/>
      <c r="G711" s="966"/>
      <c r="H711" s="498"/>
      <c r="I711" s="70"/>
      <c r="J711" s="70"/>
      <c r="K711" s="70"/>
    </row>
    <row r="712" spans="2:11" x14ac:dyDescent="0.25">
      <c r="B712" s="498"/>
      <c r="C712" s="498"/>
      <c r="D712" s="498"/>
      <c r="E712" s="498"/>
      <c r="F712" s="498"/>
      <c r="G712" s="498"/>
      <c r="H712" s="498"/>
      <c r="I712" s="70"/>
      <c r="J712" s="70"/>
      <c r="K712" s="70"/>
    </row>
    <row r="713" spans="2:11" x14ac:dyDescent="0.25">
      <c r="B713" s="498"/>
      <c r="C713" s="498"/>
      <c r="D713" s="498"/>
      <c r="E713" s="498"/>
      <c r="F713" s="498"/>
      <c r="G713" s="498"/>
      <c r="H713" s="498"/>
      <c r="I713" s="70"/>
      <c r="J713" s="70"/>
      <c r="K713" s="70"/>
    </row>
    <row r="714" spans="2:11" x14ac:dyDescent="0.25">
      <c r="B714" s="498"/>
      <c r="C714" s="498"/>
      <c r="D714" s="498"/>
      <c r="E714" s="498"/>
      <c r="F714" s="498"/>
      <c r="G714" s="498"/>
      <c r="H714" s="498"/>
      <c r="I714" s="70"/>
      <c r="J714" s="70"/>
      <c r="K714" s="70"/>
    </row>
    <row r="715" spans="2:11" x14ac:dyDescent="0.25">
      <c r="B715" s="498"/>
      <c r="C715" s="498"/>
      <c r="D715" s="498"/>
      <c r="E715" s="498"/>
      <c r="F715" s="498"/>
      <c r="G715" s="498"/>
      <c r="H715" s="498"/>
      <c r="I715" s="70"/>
      <c r="J715" s="70"/>
      <c r="K715" s="70"/>
    </row>
    <row r="716" spans="2:11" x14ac:dyDescent="0.25">
      <c r="B716" s="966"/>
      <c r="C716" s="966"/>
      <c r="D716" s="966"/>
      <c r="E716" s="966"/>
      <c r="F716" s="966"/>
      <c r="G716" s="966"/>
      <c r="H716" s="498"/>
      <c r="I716" s="70"/>
      <c r="J716" s="70"/>
      <c r="K716" s="70"/>
    </row>
    <row r="717" spans="2:11" x14ac:dyDescent="0.25">
      <c r="B717" s="966"/>
      <c r="C717" s="966"/>
      <c r="D717" s="966"/>
      <c r="E717" s="966"/>
      <c r="F717" s="966"/>
      <c r="G717" s="966"/>
      <c r="H717" s="498"/>
      <c r="I717" s="70"/>
      <c r="J717" s="70"/>
      <c r="K717" s="70"/>
    </row>
    <row r="718" spans="2:11" x14ac:dyDescent="0.25">
      <c r="B718" s="966"/>
      <c r="C718" s="966"/>
      <c r="D718" s="966"/>
      <c r="E718" s="966"/>
      <c r="F718" s="966"/>
      <c r="G718" s="966"/>
      <c r="H718" s="498"/>
      <c r="I718" s="70"/>
      <c r="J718" s="70"/>
      <c r="K718" s="70"/>
    </row>
    <row r="719" spans="2:11" x14ac:dyDescent="0.25">
      <c r="B719" s="966"/>
      <c r="C719" s="966"/>
      <c r="D719" s="966"/>
      <c r="E719" s="966"/>
      <c r="F719" s="966"/>
      <c r="G719" s="966"/>
      <c r="H719" s="498"/>
      <c r="I719" s="70"/>
      <c r="J719" s="70"/>
      <c r="K719" s="70"/>
    </row>
    <row r="720" spans="2:11" x14ac:dyDescent="0.25">
      <c r="B720" s="966"/>
      <c r="C720" s="966"/>
      <c r="D720" s="966"/>
      <c r="E720" s="966"/>
      <c r="F720" s="966"/>
      <c r="G720" s="966"/>
      <c r="H720" s="498"/>
      <c r="I720" s="70"/>
      <c r="J720" s="70"/>
      <c r="K720" s="70"/>
    </row>
    <row r="721" spans="2:11" x14ac:dyDescent="0.25">
      <c r="B721" s="966"/>
      <c r="C721" s="966"/>
      <c r="D721" s="966"/>
      <c r="E721" s="966"/>
      <c r="F721" s="966"/>
      <c r="G721" s="966"/>
      <c r="H721" s="498"/>
      <c r="I721" s="70"/>
      <c r="J721" s="70"/>
      <c r="K721" s="70"/>
    </row>
    <row r="722" spans="2:11" x14ac:dyDescent="0.25">
      <c r="B722" s="966"/>
      <c r="C722" s="966"/>
      <c r="D722" s="966"/>
      <c r="E722" s="966"/>
      <c r="F722" s="966"/>
      <c r="G722" s="966"/>
      <c r="H722" s="498"/>
      <c r="I722" s="70"/>
      <c r="J722" s="70"/>
      <c r="K722" s="70"/>
    </row>
    <row r="723" spans="2:11" x14ac:dyDescent="0.25">
      <c r="B723" s="966"/>
      <c r="C723" s="966"/>
      <c r="D723" s="966"/>
      <c r="E723" s="966"/>
      <c r="F723" s="966"/>
      <c r="G723" s="966"/>
      <c r="H723" s="498"/>
      <c r="I723" s="70"/>
      <c r="J723" s="70"/>
      <c r="K723" s="70"/>
    </row>
    <row r="724" spans="2:11" x14ac:dyDescent="0.25">
      <c r="B724" s="966"/>
      <c r="C724" s="966"/>
      <c r="D724" s="966"/>
      <c r="E724" s="966"/>
      <c r="F724" s="966"/>
      <c r="G724" s="966"/>
      <c r="H724" s="498"/>
      <c r="I724" s="70"/>
      <c r="J724" s="70"/>
      <c r="K724" s="70"/>
    </row>
    <row r="725" spans="2:11" x14ac:dyDescent="0.25">
      <c r="B725" s="966"/>
      <c r="C725" s="966"/>
      <c r="D725" s="966"/>
      <c r="E725" s="966"/>
      <c r="F725" s="966"/>
      <c r="G725" s="966"/>
      <c r="H725" s="498"/>
      <c r="I725" s="70"/>
      <c r="J725" s="70"/>
      <c r="K725" s="70"/>
    </row>
    <row r="726" spans="2:11" x14ac:dyDescent="0.25">
      <c r="B726" s="966"/>
      <c r="C726" s="966"/>
      <c r="D726" s="966"/>
      <c r="E726" s="966"/>
      <c r="F726" s="966"/>
      <c r="G726" s="966"/>
      <c r="H726" s="498"/>
      <c r="I726" s="70"/>
      <c r="J726" s="70"/>
      <c r="K726" s="70"/>
    </row>
    <row r="727" spans="2:11" x14ac:dyDescent="0.25">
      <c r="B727" s="966"/>
      <c r="C727" s="966"/>
      <c r="D727" s="966"/>
      <c r="E727" s="966"/>
      <c r="F727" s="966"/>
      <c r="G727" s="966"/>
      <c r="H727" s="498"/>
      <c r="I727" s="70"/>
      <c r="J727" s="70"/>
      <c r="K727" s="70"/>
    </row>
    <row r="728" spans="2:11" x14ac:dyDescent="0.25">
      <c r="B728" s="966"/>
      <c r="C728" s="966"/>
      <c r="D728" s="966"/>
      <c r="E728" s="966"/>
      <c r="F728" s="966"/>
      <c r="G728" s="966"/>
      <c r="H728" s="498"/>
      <c r="I728" s="70"/>
      <c r="J728" s="70"/>
      <c r="K728" s="70"/>
    </row>
    <row r="729" spans="2:11" x14ac:dyDescent="0.25">
      <c r="B729" s="966"/>
      <c r="C729" s="966"/>
      <c r="D729" s="966"/>
      <c r="E729" s="966"/>
      <c r="F729" s="966"/>
      <c r="G729" s="966"/>
      <c r="H729" s="498"/>
      <c r="I729" s="70"/>
      <c r="J729" s="70"/>
      <c r="K729" s="70"/>
    </row>
    <row r="730" spans="2:11" x14ac:dyDescent="0.25">
      <c r="B730" s="966"/>
      <c r="C730" s="966"/>
      <c r="D730" s="966"/>
      <c r="E730" s="966"/>
      <c r="F730" s="966"/>
      <c r="G730" s="966"/>
      <c r="H730" s="498"/>
      <c r="I730" s="70"/>
      <c r="J730" s="70"/>
      <c r="K730" s="70"/>
    </row>
    <row r="731" spans="2:11" x14ac:dyDescent="0.25">
      <c r="B731" s="966"/>
      <c r="C731" s="966"/>
      <c r="D731" s="966"/>
      <c r="E731" s="966"/>
      <c r="F731" s="966"/>
      <c r="G731" s="966"/>
      <c r="H731" s="498"/>
      <c r="I731" s="70"/>
      <c r="J731" s="70"/>
      <c r="K731" s="70"/>
    </row>
    <row r="732" spans="2:11" x14ac:dyDescent="0.25">
      <c r="B732" s="966"/>
      <c r="C732" s="966"/>
      <c r="D732" s="966"/>
      <c r="E732" s="966"/>
      <c r="F732" s="966"/>
      <c r="G732" s="966"/>
      <c r="H732" s="498"/>
      <c r="I732" s="70"/>
      <c r="J732" s="70"/>
      <c r="K732" s="70"/>
    </row>
    <row r="733" spans="2:11" x14ac:dyDescent="0.25">
      <c r="B733" s="966"/>
      <c r="C733" s="966"/>
      <c r="D733" s="966"/>
      <c r="E733" s="966"/>
      <c r="F733" s="966"/>
      <c r="G733" s="966"/>
      <c r="H733" s="498"/>
      <c r="I733" s="70"/>
      <c r="J733" s="70"/>
      <c r="K733" s="70"/>
    </row>
    <row r="734" spans="2:11" x14ac:dyDescent="0.25">
      <c r="B734" s="70"/>
      <c r="C734" s="70"/>
      <c r="D734" s="70"/>
      <c r="E734" s="70"/>
      <c r="F734" s="70"/>
      <c r="G734" s="70"/>
      <c r="H734" s="70"/>
      <c r="I734" s="70"/>
      <c r="J734" s="70"/>
      <c r="K734" s="70"/>
    </row>
    <row r="735" spans="2:11" x14ac:dyDescent="0.25">
      <c r="B735" s="70"/>
      <c r="C735" s="70"/>
      <c r="D735" s="70"/>
      <c r="E735" s="70"/>
      <c r="F735" s="70"/>
      <c r="G735" s="70"/>
      <c r="H735" s="70"/>
      <c r="I735" s="70"/>
      <c r="J735" s="70"/>
      <c r="K735" s="70"/>
    </row>
    <row r="736" spans="2:11" x14ac:dyDescent="0.25">
      <c r="B736" s="70"/>
      <c r="C736" s="70"/>
      <c r="D736" s="70"/>
      <c r="E736" s="70"/>
      <c r="F736" s="70"/>
      <c r="G736" s="70"/>
      <c r="H736" s="70"/>
      <c r="I736" s="70"/>
      <c r="J736" s="70"/>
      <c r="K736" s="70"/>
    </row>
    <row r="737" spans="2:11" x14ac:dyDescent="0.25">
      <c r="B737" s="70"/>
      <c r="C737" s="70"/>
      <c r="D737" s="70"/>
      <c r="E737" s="70"/>
      <c r="F737" s="70"/>
      <c r="G737" s="70"/>
      <c r="H737" s="70"/>
      <c r="I737" s="70"/>
      <c r="J737" s="70"/>
      <c r="K737" s="70"/>
    </row>
    <row r="738" spans="2:11" x14ac:dyDescent="0.25">
      <c r="B738" s="70"/>
      <c r="C738" s="70"/>
      <c r="D738" s="70"/>
      <c r="E738" s="70"/>
      <c r="F738" s="70"/>
      <c r="G738" s="70"/>
      <c r="H738" s="70"/>
      <c r="I738" s="70"/>
      <c r="J738" s="70"/>
      <c r="K738" s="70"/>
    </row>
    <row r="739" spans="2:11" x14ac:dyDescent="0.25">
      <c r="B739" s="70"/>
      <c r="C739" s="70"/>
      <c r="D739" s="70"/>
      <c r="E739" s="70"/>
      <c r="F739" s="70"/>
      <c r="G739" s="70"/>
      <c r="H739" s="70"/>
      <c r="I739" s="70"/>
      <c r="J739" s="70"/>
      <c r="K739" s="70"/>
    </row>
    <row r="740" spans="2:11" x14ac:dyDescent="0.25">
      <c r="B740" s="70"/>
      <c r="C740" s="70"/>
      <c r="D740" s="70"/>
      <c r="E740" s="70"/>
      <c r="F740" s="70"/>
      <c r="G740" s="70"/>
      <c r="H740" s="70"/>
      <c r="I740" s="70"/>
      <c r="J740" s="70"/>
      <c r="K740" s="70"/>
    </row>
    <row r="741" spans="2:11" x14ac:dyDescent="0.25">
      <c r="B741" s="70"/>
      <c r="C741" s="70"/>
      <c r="D741" s="70"/>
      <c r="E741" s="70"/>
      <c r="F741" s="70"/>
      <c r="G741" s="70"/>
      <c r="H741" s="70"/>
      <c r="I741" s="70"/>
      <c r="J741" s="70"/>
      <c r="K741" s="70"/>
    </row>
  </sheetData>
  <mergeCells count="369">
    <mergeCell ref="CS278:CS279"/>
    <mergeCell ref="CT278:CV278"/>
    <mergeCell ref="B115:G115"/>
    <mergeCell ref="B116:G116"/>
    <mergeCell ref="B117:G117"/>
    <mergeCell ref="B275:G275"/>
    <mergeCell ref="B731:G731"/>
    <mergeCell ref="B732:G732"/>
    <mergeCell ref="B544:G544"/>
    <mergeCell ref="B545:G545"/>
    <mergeCell ref="B546:G546"/>
    <mergeCell ref="B547:G547"/>
    <mergeCell ref="B548:G548"/>
    <mergeCell ref="B549:G549"/>
    <mergeCell ref="B538:G538"/>
    <mergeCell ref="B539:G539"/>
    <mergeCell ref="B540:G540"/>
    <mergeCell ref="B541:G541"/>
    <mergeCell ref="B542:G542"/>
    <mergeCell ref="B543:G543"/>
    <mergeCell ref="B717:G717"/>
    <mergeCell ref="B718:G718"/>
    <mergeCell ref="B719:G719"/>
    <mergeCell ref="S313:U313"/>
    <mergeCell ref="Y313:AA313"/>
    <mergeCell ref="B440:G440"/>
    <mergeCell ref="S535:U535"/>
    <mergeCell ref="W535:Y535"/>
    <mergeCell ref="B532:G532"/>
    <mergeCell ref="B533:G533"/>
    <mergeCell ref="B534:G534"/>
    <mergeCell ref="B409:G409"/>
    <mergeCell ref="B520:G520"/>
    <mergeCell ref="B521:G521"/>
    <mergeCell ref="B522:G522"/>
    <mergeCell ref="B523:G523"/>
    <mergeCell ref="B524:G524"/>
    <mergeCell ref="B525:G525"/>
    <mergeCell ref="B535:G535"/>
    <mergeCell ref="B514:G514"/>
    <mergeCell ref="B515:G515"/>
    <mergeCell ref="B516:G516"/>
    <mergeCell ref="B498:G498"/>
    <mergeCell ref="B499:G499"/>
    <mergeCell ref="B500:G500"/>
    <mergeCell ref="B449:G449"/>
    <mergeCell ref="B517:G517"/>
    <mergeCell ref="B438:G438"/>
    <mergeCell ref="B733:G733"/>
    <mergeCell ref="B637:G637"/>
    <mergeCell ref="B615:G615"/>
    <mergeCell ref="B616:G616"/>
    <mergeCell ref="B617:G617"/>
    <mergeCell ref="B618:G618"/>
    <mergeCell ref="B619:G619"/>
    <mergeCell ref="B620:G620"/>
    <mergeCell ref="B550:G550"/>
    <mergeCell ref="B551:G551"/>
    <mergeCell ref="B612:G612"/>
    <mergeCell ref="B613:G613"/>
    <mergeCell ref="B614:G614"/>
    <mergeCell ref="B726:G726"/>
    <mergeCell ref="B727:G727"/>
    <mergeCell ref="B710:G710"/>
    <mergeCell ref="B711:G711"/>
    <mergeCell ref="B716:G716"/>
    <mergeCell ref="B720:G720"/>
    <mergeCell ref="B728:G728"/>
    <mergeCell ref="B729:G729"/>
    <mergeCell ref="B644:G644"/>
    <mergeCell ref="B645:G645"/>
    <mergeCell ref="B646:G646"/>
    <mergeCell ref="B536:G536"/>
    <mergeCell ref="B537:G537"/>
    <mergeCell ref="B513:G513"/>
    <mergeCell ref="B497:G497"/>
    <mergeCell ref="B526:G526"/>
    <mergeCell ref="B527:G527"/>
    <mergeCell ref="B528:G528"/>
    <mergeCell ref="B529:G529"/>
    <mergeCell ref="B530:G530"/>
    <mergeCell ref="B531:G531"/>
    <mergeCell ref="B518:G518"/>
    <mergeCell ref="B519:G519"/>
    <mergeCell ref="B439:G439"/>
    <mergeCell ref="B443:G443"/>
    <mergeCell ref="B441:G441"/>
    <mergeCell ref="B484:G484"/>
    <mergeCell ref="B485:G485"/>
    <mergeCell ref="B486:G486"/>
    <mergeCell ref="B487:G487"/>
    <mergeCell ref="B464:G464"/>
    <mergeCell ref="B465:G465"/>
    <mergeCell ref="B466:G466"/>
    <mergeCell ref="B467:G467"/>
    <mergeCell ref="B442:G442"/>
    <mergeCell ref="B445:G445"/>
    <mergeCell ref="B446:G446"/>
    <mergeCell ref="B447:G447"/>
    <mergeCell ref="B448:G448"/>
    <mergeCell ref="B730:G730"/>
    <mergeCell ref="B638:G638"/>
    <mergeCell ref="B639:G639"/>
    <mergeCell ref="B640:G640"/>
    <mergeCell ref="B641:G641"/>
    <mergeCell ref="B642:G642"/>
    <mergeCell ref="B643:G643"/>
    <mergeCell ref="B621:G621"/>
    <mergeCell ref="B622:G622"/>
    <mergeCell ref="B623:G623"/>
    <mergeCell ref="B635:G635"/>
    <mergeCell ref="B636:G636"/>
    <mergeCell ref="B655:G655"/>
    <mergeCell ref="B656:G656"/>
    <mergeCell ref="B658:G658"/>
    <mergeCell ref="B657:G657"/>
    <mergeCell ref="B725:G725"/>
    <mergeCell ref="B667:G667"/>
    <mergeCell ref="B669:G669"/>
    <mergeCell ref="B651:G651"/>
    <mergeCell ref="B652:G652"/>
    <mergeCell ref="B653:G653"/>
    <mergeCell ref="B654:G654"/>
    <mergeCell ref="B666:G666"/>
    <mergeCell ref="B420:G420"/>
    <mergeCell ref="B421:G421"/>
    <mergeCell ref="B422:G422"/>
    <mergeCell ref="B423:G423"/>
    <mergeCell ref="B424:G424"/>
    <mergeCell ref="B418:G418"/>
    <mergeCell ref="B419:G419"/>
    <mergeCell ref="B390:G390"/>
    <mergeCell ref="B392:G392"/>
    <mergeCell ref="B393:G393"/>
    <mergeCell ref="B405:G405"/>
    <mergeCell ref="B406:G406"/>
    <mergeCell ref="B407:G407"/>
    <mergeCell ref="B408:G408"/>
    <mergeCell ref="B410:G410"/>
    <mergeCell ref="B411:G411"/>
    <mergeCell ref="B417:F417"/>
    <mergeCell ref="B383:G383"/>
    <mergeCell ref="B384:G384"/>
    <mergeCell ref="B400:G400"/>
    <mergeCell ref="B401:G401"/>
    <mergeCell ref="B378:G378"/>
    <mergeCell ref="B379:G379"/>
    <mergeCell ref="B380:G380"/>
    <mergeCell ref="B381:G381"/>
    <mergeCell ref="B398:G398"/>
    <mergeCell ref="B399:G399"/>
    <mergeCell ref="B389:F389"/>
    <mergeCell ref="B394:G394"/>
    <mergeCell ref="B395:G395"/>
    <mergeCell ref="B396:G396"/>
    <mergeCell ref="B397:G397"/>
    <mergeCell ref="B372:G372"/>
    <mergeCell ref="B373:G373"/>
    <mergeCell ref="B374:G374"/>
    <mergeCell ref="B375:G375"/>
    <mergeCell ref="B376:G376"/>
    <mergeCell ref="B377:G377"/>
    <mergeCell ref="B357:G357"/>
    <mergeCell ref="B358:G358"/>
    <mergeCell ref="B368:G368"/>
    <mergeCell ref="B369:G369"/>
    <mergeCell ref="B370:G370"/>
    <mergeCell ref="B371:G371"/>
    <mergeCell ref="B326:G326"/>
    <mergeCell ref="B327:G327"/>
    <mergeCell ref="B328:G328"/>
    <mergeCell ref="B325:G325"/>
    <mergeCell ref="B349:F349"/>
    <mergeCell ref="B350:F350"/>
    <mergeCell ref="B351:F351"/>
    <mergeCell ref="B356:G356"/>
    <mergeCell ref="B340:G340"/>
    <mergeCell ref="B341:G341"/>
    <mergeCell ref="B346:F346"/>
    <mergeCell ref="B336:G336"/>
    <mergeCell ref="B337:G337"/>
    <mergeCell ref="B338:G338"/>
    <mergeCell ref="B339:G339"/>
    <mergeCell ref="B347:F347"/>
    <mergeCell ref="B319:G319"/>
    <mergeCell ref="B320:G320"/>
    <mergeCell ref="B321:G321"/>
    <mergeCell ref="B322:G322"/>
    <mergeCell ref="B323:G323"/>
    <mergeCell ref="B324:G324"/>
    <mergeCell ref="B300:G300"/>
    <mergeCell ref="B301:G301"/>
    <mergeCell ref="B310:G310"/>
    <mergeCell ref="B311:G311"/>
    <mergeCell ref="B257:G257"/>
    <mergeCell ref="B258:G258"/>
    <mergeCell ref="B287:G287"/>
    <mergeCell ref="B298:G298"/>
    <mergeCell ref="B299:G299"/>
    <mergeCell ref="B286:G286"/>
    <mergeCell ref="B256:G256"/>
    <mergeCell ref="B277:G277"/>
    <mergeCell ref="B230:G230"/>
    <mergeCell ref="B232:G232"/>
    <mergeCell ref="B233:G233"/>
    <mergeCell ref="B234:G234"/>
    <mergeCell ref="B235:G235"/>
    <mergeCell ref="B273:G273"/>
    <mergeCell ref="B231:G231"/>
    <mergeCell ref="B221:G221"/>
    <mergeCell ref="B222:G222"/>
    <mergeCell ref="B223:G223"/>
    <mergeCell ref="B206:G206"/>
    <mergeCell ref="B212:G212"/>
    <mergeCell ref="B204:G204"/>
    <mergeCell ref="B213:G213"/>
    <mergeCell ref="B215:G215"/>
    <mergeCell ref="B186:G186"/>
    <mergeCell ref="B187:G187"/>
    <mergeCell ref="B192:G192"/>
    <mergeCell ref="B202:G202"/>
    <mergeCell ref="B203:G203"/>
    <mergeCell ref="B194:G194"/>
    <mergeCell ref="B193:G193"/>
    <mergeCell ref="B196:G196"/>
    <mergeCell ref="B198:G198"/>
    <mergeCell ref="B195:G195"/>
    <mergeCell ref="B200:G200"/>
    <mergeCell ref="B188:G188"/>
    <mergeCell ref="B189:G189"/>
    <mergeCell ref="B190:G190"/>
    <mergeCell ref="B214:G214"/>
    <mergeCell ref="B201:F201"/>
    <mergeCell ref="B168:G168"/>
    <mergeCell ref="B169:G169"/>
    <mergeCell ref="B182:G182"/>
    <mergeCell ref="B183:G183"/>
    <mergeCell ref="B184:G184"/>
    <mergeCell ref="B185:G185"/>
    <mergeCell ref="B159:G159"/>
    <mergeCell ref="B160:G160"/>
    <mergeCell ref="B161:G161"/>
    <mergeCell ref="B166:G166"/>
    <mergeCell ref="B167:G167"/>
    <mergeCell ref="B170:G170"/>
    <mergeCell ref="B151:G151"/>
    <mergeCell ref="B152:G152"/>
    <mergeCell ref="B158:G158"/>
    <mergeCell ref="B133:G133"/>
    <mergeCell ref="B135:G135"/>
    <mergeCell ref="B136:G136"/>
    <mergeCell ref="B150:G150"/>
    <mergeCell ref="B121:G121"/>
    <mergeCell ref="B122:G122"/>
    <mergeCell ref="B123:G123"/>
    <mergeCell ref="B132:G132"/>
    <mergeCell ref="B134:G134"/>
    <mergeCell ref="B148:G148"/>
    <mergeCell ref="B89:G89"/>
    <mergeCell ref="B105:G105"/>
    <mergeCell ref="B106:G106"/>
    <mergeCell ref="B107:G107"/>
    <mergeCell ref="B73:G73"/>
    <mergeCell ref="B74:G74"/>
    <mergeCell ref="B82:G82"/>
    <mergeCell ref="B85:G85"/>
    <mergeCell ref="B51:G51"/>
    <mergeCell ref="B52:G52"/>
    <mergeCell ref="B86:G86"/>
    <mergeCell ref="B87:G87"/>
    <mergeCell ref="B66:G66"/>
    <mergeCell ref="B69:G69"/>
    <mergeCell ref="B70:G70"/>
    <mergeCell ref="B88:G88"/>
    <mergeCell ref="B67:G67"/>
    <mergeCell ref="B71:G71"/>
    <mergeCell ref="B83:G83"/>
    <mergeCell ref="B39:G39"/>
    <mergeCell ref="B40:G40"/>
    <mergeCell ref="B50:G50"/>
    <mergeCell ref="B18:G18"/>
    <mergeCell ref="B19:G19"/>
    <mergeCell ref="B20:G20"/>
    <mergeCell ref="B21:G21"/>
    <mergeCell ref="B22:G22"/>
    <mergeCell ref="B33:G33"/>
    <mergeCell ref="B14:G14"/>
    <mergeCell ref="B17:G17"/>
    <mergeCell ref="B25:G25"/>
    <mergeCell ref="S329:U329"/>
    <mergeCell ref="W329:Y329"/>
    <mergeCell ref="B16:G16"/>
    <mergeCell ref="B15:G15"/>
    <mergeCell ref="B24:G24"/>
    <mergeCell ref="B23:G23"/>
    <mergeCell ref="B35:G35"/>
    <mergeCell ref="B31:G31"/>
    <mergeCell ref="B32:G32"/>
    <mergeCell ref="B29:G29"/>
    <mergeCell ref="B30:G30"/>
    <mergeCell ref="B27:G27"/>
    <mergeCell ref="B28:G28"/>
    <mergeCell ref="B36:G36"/>
    <mergeCell ref="B34:G34"/>
    <mergeCell ref="K230:P230"/>
    <mergeCell ref="B41:G41"/>
    <mergeCell ref="B42:G42"/>
    <mergeCell ref="B43:G43"/>
    <mergeCell ref="B37:G37"/>
    <mergeCell ref="B38:G38"/>
    <mergeCell ref="B1:G1"/>
    <mergeCell ref="B2:G2"/>
    <mergeCell ref="B3:G3"/>
    <mergeCell ref="B4:G4"/>
    <mergeCell ref="B5:G5"/>
    <mergeCell ref="B6:G6"/>
    <mergeCell ref="B13:G13"/>
    <mergeCell ref="B11:G11"/>
    <mergeCell ref="B12:G12"/>
    <mergeCell ref="B7:G7"/>
    <mergeCell ref="B8:G8"/>
    <mergeCell ref="B9:G9"/>
    <mergeCell ref="B10:G10"/>
    <mergeCell ref="B687:G687"/>
    <mergeCell ref="B721:G721"/>
    <mergeCell ref="B659:G659"/>
    <mergeCell ref="AY659:AZ659"/>
    <mergeCell ref="BA659:BB659"/>
    <mergeCell ref="BC659:BD659"/>
    <mergeCell ref="BE659:BF659"/>
    <mergeCell ref="AO615:AS615"/>
    <mergeCell ref="AO617:AS617"/>
    <mergeCell ref="AO618:AS618"/>
    <mergeCell ref="AO619:AS619"/>
    <mergeCell ref="AO620:AS620"/>
    <mergeCell ref="AO621:AS621"/>
    <mergeCell ref="AO622:AS622"/>
    <mergeCell ref="B629:G629"/>
    <mergeCell ref="B626:G626"/>
    <mergeCell ref="B625:G625"/>
    <mergeCell ref="B627:G627"/>
    <mergeCell ref="B628:G628"/>
    <mergeCell ref="B688:F688"/>
    <mergeCell ref="B664:G664"/>
    <mergeCell ref="B665:G665"/>
    <mergeCell ref="BG659:BH659"/>
    <mergeCell ref="BI659:BJ659"/>
    <mergeCell ref="BP685:BT685"/>
    <mergeCell ref="BR669:BV669"/>
    <mergeCell ref="B686:G686"/>
    <mergeCell ref="B709:G709"/>
    <mergeCell ref="B722:G722"/>
    <mergeCell ref="B723:G723"/>
    <mergeCell ref="B724:G724"/>
    <mergeCell ref="BK659:BL659"/>
    <mergeCell ref="BM659:BN659"/>
    <mergeCell ref="BI661:BJ661"/>
    <mergeCell ref="BK661:BL661"/>
    <mergeCell ref="BM661:BN661"/>
    <mergeCell ref="B660:G660"/>
    <mergeCell ref="B661:G661"/>
    <mergeCell ref="B662:G662"/>
    <mergeCell ref="B663:G663"/>
    <mergeCell ref="AY661:AZ661"/>
    <mergeCell ref="BA661:BB661"/>
    <mergeCell ref="BC661:BD661"/>
    <mergeCell ref="BE661:BF661"/>
    <mergeCell ref="BG661:BH661"/>
    <mergeCell ref="B689:F689"/>
  </mergeCells>
  <printOptions horizontalCentered="1"/>
  <pageMargins left="0.51181102362204722" right="0.51181102362204722" top="0.98425196850393704" bottom="0.78740157480314965" header="0.31496062992125984" footer="0.31496062992125984"/>
  <pageSetup paperSize="9" scale="88" orientation="portrait" r:id="rId1"/>
  <headerFooter>
    <oddHeader>&amp;L&amp;G</oddHeader>
    <oddFooter xml:space="preserve">&amp;LAv. Gal. Euclydes de Oliveira Figueiredo, 200 - Brisamar - Itaguaí – RJ, Cep: 23825-410
+55 21 3781-4303  |  www.nuclep.gov.br  |  presidencia@nuclep.gov.br
</oddFooter>
  </headerFooter>
  <rowBreaks count="17" manualBreakCount="17">
    <brk id="26" min="1" max="6" man="1"/>
    <brk id="50" max="16383" man="1"/>
    <brk id="74" max="16383" man="1"/>
    <brk id="120" max="16383" man="1"/>
    <brk id="166" max="16383" man="1"/>
    <brk id="215" max="16383" man="1"/>
    <brk id="256" max="16383" man="1"/>
    <brk id="327" max="16383" man="1"/>
    <brk id="367" max="16383" man="1"/>
    <brk id="396" max="16383" man="1"/>
    <brk id="423" max="16383" man="1"/>
    <brk id="448" min="1" max="6" man="1"/>
    <brk id="496" max="16383" man="1"/>
    <brk id="623" max="16383" man="1"/>
    <brk id="651" max="16383" man="1"/>
    <brk id="667" max="16383" man="1"/>
    <brk id="707" min="1" max="6" man="1"/>
  </rowBreaks>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5F3E-047D-48A0-A511-E53229C97E64}">
  <sheetPr>
    <tabColor theme="0" tint="-0.34998626667073579"/>
  </sheetPr>
  <dimension ref="A1:CL596"/>
  <sheetViews>
    <sheetView workbookViewId="0">
      <selection sqref="A1:F1"/>
    </sheetView>
  </sheetViews>
  <sheetFormatPr defaultRowHeight="15.75" x14ac:dyDescent="0.25"/>
  <cols>
    <col min="1" max="1" width="61.5703125" style="76" customWidth="1"/>
    <col min="2" max="2" width="1.28515625" style="76" customWidth="1"/>
    <col min="3" max="3" width="16.28515625" style="76" customWidth="1"/>
    <col min="4" max="4" width="1.28515625" style="76" customWidth="1"/>
    <col min="5" max="5" width="16.28515625" style="76" customWidth="1"/>
    <col min="6" max="6" width="1.28515625" style="76" customWidth="1"/>
    <col min="7" max="8" width="10.7109375" style="76" customWidth="1"/>
    <col min="9" max="9" width="16.28515625" style="76" customWidth="1"/>
    <col min="15" max="15" width="33.42578125" bestFit="1" customWidth="1"/>
    <col min="16" max="16" width="0.85546875" customWidth="1"/>
    <col min="17" max="17" width="12.7109375" customWidth="1"/>
    <col min="18" max="18" width="0.85546875" customWidth="1"/>
    <col min="19" max="19" width="12.7109375" customWidth="1"/>
    <col min="20" max="20" width="0.85546875" customWidth="1"/>
    <col min="22" max="22" width="0.85546875" customWidth="1"/>
    <col min="23" max="23" width="12.7109375" customWidth="1"/>
    <col min="24" max="24" width="0.85546875" customWidth="1"/>
    <col min="25" max="25" width="12.7109375" customWidth="1"/>
    <col min="26" max="26" width="0.85546875" customWidth="1"/>
    <col min="27" max="27" width="12.7109375" customWidth="1"/>
    <col min="28" max="28" width="1.28515625" customWidth="1"/>
    <col min="30" max="30" width="1.28515625" customWidth="1"/>
    <col min="32" max="32" width="1.28515625" customWidth="1"/>
    <col min="34" max="34" width="1.28515625" customWidth="1"/>
    <col min="37" max="37" width="39.7109375" customWidth="1"/>
    <col min="38" max="38" width="0.85546875" customWidth="1"/>
    <col min="39" max="39" width="14.42578125" customWidth="1"/>
    <col min="40" max="40" width="0.85546875" customWidth="1"/>
    <col min="41" max="41" width="14.42578125" customWidth="1"/>
    <col min="42" max="42" width="0.85546875" customWidth="1"/>
    <col min="43" max="43" width="14.42578125" customWidth="1"/>
    <col min="44" max="44" width="0.85546875" customWidth="1"/>
    <col min="45" max="45" width="14.42578125" customWidth="1"/>
    <col min="46" max="46" width="0.85546875" customWidth="1"/>
    <col min="47" max="47" width="14.42578125" customWidth="1"/>
    <col min="48" max="48" width="19.140625" customWidth="1"/>
    <col min="49" max="49" width="0.85546875" customWidth="1"/>
    <col min="50" max="50" width="12.42578125" customWidth="1"/>
    <col min="51" max="51" width="0.85546875" customWidth="1"/>
    <col min="52" max="52" width="10" customWidth="1"/>
    <col min="53" max="53" width="0.85546875" customWidth="1"/>
    <col min="54" max="54" width="10.140625" customWidth="1"/>
    <col min="55" max="55" width="0.85546875" customWidth="1"/>
    <col min="56" max="56" width="9.42578125" customWidth="1"/>
    <col min="57" max="57" width="0.85546875" customWidth="1"/>
    <col min="58" max="58" width="10.28515625" customWidth="1"/>
    <col min="59" max="59" width="0.85546875" customWidth="1"/>
    <col min="60" max="60" width="12" bestFit="1" customWidth="1"/>
    <col min="61" max="61" width="0.85546875" customWidth="1"/>
    <col min="62" max="62" width="9.42578125" bestFit="1" customWidth="1"/>
    <col min="63" max="63" width="0.85546875" customWidth="1"/>
    <col min="64" max="64" width="9" bestFit="1" customWidth="1"/>
    <col min="66" max="66" width="32.5703125" customWidth="1"/>
    <col min="67" max="67" width="0.85546875" customWidth="1"/>
    <col min="68" max="68" width="15.5703125" customWidth="1"/>
    <col min="69" max="69" width="0.85546875" customWidth="1"/>
    <col min="70" max="70" width="15.5703125" customWidth="1"/>
    <col min="71" max="71" width="0.85546875" customWidth="1"/>
    <col min="72" max="72" width="15.5703125" customWidth="1"/>
    <col min="74" max="74" width="40.5703125" customWidth="1"/>
    <col min="75" max="75" width="0.85546875" customWidth="1"/>
    <col min="76" max="76" width="11.28515625" customWidth="1"/>
    <col min="77" max="77" width="0.85546875" customWidth="1"/>
    <col min="78" max="78" width="12.5703125" bestFit="1" customWidth="1"/>
    <col min="79" max="79" width="0.85546875" customWidth="1"/>
    <col min="80" max="80" width="17.42578125" customWidth="1"/>
    <col min="81" max="81" width="0.85546875" customWidth="1"/>
    <col min="82" max="82" width="17.28515625" customWidth="1"/>
    <col min="83" max="83" width="0.85546875" customWidth="1"/>
    <col min="84" max="84" width="15.5703125" bestFit="1" customWidth="1"/>
    <col min="85" max="85" width="0.85546875" customWidth="1"/>
    <col min="86" max="86" width="18.28515625" hidden="1" customWidth="1"/>
    <col min="87" max="87" width="0.85546875" hidden="1" customWidth="1"/>
    <col min="88" max="88" width="11.5703125" customWidth="1"/>
  </cols>
  <sheetData>
    <row r="1" spans="1:9" x14ac:dyDescent="0.25">
      <c r="A1" s="975"/>
      <c r="B1" s="975"/>
      <c r="C1" s="975"/>
      <c r="D1" s="975"/>
      <c r="E1" s="975"/>
      <c r="F1" s="975"/>
    </row>
    <row r="2" spans="1:9" x14ac:dyDescent="0.25">
      <c r="A2" s="976" t="s">
        <v>4486</v>
      </c>
      <c r="B2" s="976"/>
      <c r="C2" s="976"/>
      <c r="D2" s="976"/>
      <c r="E2" s="976"/>
      <c r="F2" s="976"/>
      <c r="G2" s="72"/>
      <c r="H2" s="72"/>
      <c r="I2" s="72"/>
    </row>
    <row r="3" spans="1:9" x14ac:dyDescent="0.25">
      <c r="A3" s="976" t="s">
        <v>4487</v>
      </c>
      <c r="B3" s="976"/>
      <c r="C3" s="976"/>
      <c r="D3" s="976"/>
      <c r="E3" s="976"/>
      <c r="F3" s="976"/>
      <c r="G3" s="72"/>
      <c r="H3" s="72"/>
      <c r="I3" s="72"/>
    </row>
    <row r="4" spans="1:9" x14ac:dyDescent="0.25">
      <c r="A4" s="976" t="s">
        <v>7007</v>
      </c>
      <c r="B4" s="976"/>
      <c r="C4" s="976"/>
      <c r="D4" s="976"/>
      <c r="E4" s="976"/>
      <c r="F4" s="976"/>
      <c r="G4" s="72"/>
      <c r="H4" s="72"/>
      <c r="I4" s="72"/>
    </row>
    <row r="5" spans="1:9" x14ac:dyDescent="0.25">
      <c r="A5" s="976" t="s">
        <v>4488</v>
      </c>
      <c r="B5" s="976"/>
      <c r="C5" s="976"/>
      <c r="D5" s="976"/>
      <c r="E5" s="976"/>
      <c r="F5" s="976"/>
      <c r="G5" s="72"/>
      <c r="H5" s="72"/>
      <c r="I5" s="72"/>
    </row>
    <row r="6" spans="1:9" x14ac:dyDescent="0.25">
      <c r="A6" s="975"/>
      <c r="B6" s="975"/>
      <c r="C6" s="975"/>
      <c r="D6" s="975"/>
      <c r="E6" s="975"/>
      <c r="F6" s="975"/>
      <c r="G6" s="70"/>
      <c r="H6" s="70"/>
      <c r="I6" s="70"/>
    </row>
    <row r="7" spans="1:9" x14ac:dyDescent="0.25">
      <c r="A7" s="978" t="s">
        <v>6815</v>
      </c>
      <c r="B7" s="978"/>
      <c r="C7" s="978"/>
      <c r="D7" s="978"/>
      <c r="E7" s="978"/>
      <c r="F7" s="978"/>
      <c r="G7" s="72"/>
      <c r="H7" s="72"/>
      <c r="I7" s="72"/>
    </row>
    <row r="8" spans="1:9" ht="98.25" customHeight="1" x14ac:dyDescent="0.25">
      <c r="A8" s="966" t="s">
        <v>7116</v>
      </c>
      <c r="B8" s="966"/>
      <c r="C8" s="966"/>
      <c r="D8" s="966"/>
      <c r="E8" s="966"/>
      <c r="F8" s="966"/>
      <c r="G8" s="72"/>
      <c r="H8" s="72"/>
      <c r="I8" s="72"/>
    </row>
    <row r="9" spans="1:9" x14ac:dyDescent="0.25">
      <c r="A9" s="977"/>
      <c r="B9" s="977"/>
      <c r="C9" s="977"/>
      <c r="D9" s="977"/>
      <c r="E9" s="977"/>
      <c r="F9" s="977"/>
      <c r="G9" s="72"/>
      <c r="H9" s="72"/>
      <c r="I9" s="72"/>
    </row>
    <row r="10" spans="1:9" ht="49.5" customHeight="1" x14ac:dyDescent="0.25">
      <c r="A10" s="966" t="s">
        <v>7030</v>
      </c>
      <c r="B10" s="966"/>
      <c r="C10" s="966"/>
      <c r="D10" s="966"/>
      <c r="E10" s="966"/>
      <c r="F10" s="966"/>
      <c r="G10" s="72"/>
      <c r="H10" s="72"/>
      <c r="I10" s="72"/>
    </row>
    <row r="11" spans="1:9" x14ac:dyDescent="0.25">
      <c r="A11" s="977"/>
      <c r="B11" s="977"/>
      <c r="C11" s="977"/>
      <c r="D11" s="977"/>
      <c r="E11" s="977"/>
      <c r="F11" s="977"/>
      <c r="G11" s="72"/>
      <c r="H11" s="72"/>
      <c r="I11" s="72"/>
    </row>
    <row r="12" spans="1:9" ht="36.75" customHeight="1" x14ac:dyDescent="0.25">
      <c r="A12" s="966" t="s">
        <v>7031</v>
      </c>
      <c r="B12" s="966"/>
      <c r="C12" s="966"/>
      <c r="D12" s="966"/>
      <c r="E12" s="966"/>
      <c r="F12" s="966"/>
      <c r="G12" s="72"/>
      <c r="H12" s="72"/>
      <c r="I12" s="72"/>
    </row>
    <row r="13" spans="1:9" x14ac:dyDescent="0.25">
      <c r="A13" s="977"/>
      <c r="B13" s="977"/>
      <c r="C13" s="977"/>
      <c r="D13" s="977"/>
      <c r="E13" s="977"/>
      <c r="F13" s="977"/>
      <c r="G13" s="72"/>
      <c r="H13" s="72"/>
      <c r="I13" s="72"/>
    </row>
    <row r="14" spans="1:9" ht="32.25" customHeight="1" x14ac:dyDescent="0.25">
      <c r="A14" s="977" t="s">
        <v>7032</v>
      </c>
      <c r="B14" s="977"/>
      <c r="C14" s="977"/>
      <c r="D14" s="977"/>
      <c r="E14" s="977"/>
      <c r="F14" s="977"/>
      <c r="G14" s="72"/>
      <c r="H14" s="72"/>
      <c r="I14" s="72"/>
    </row>
    <row r="15" spans="1:9" x14ac:dyDescent="0.25">
      <c r="A15" s="977"/>
      <c r="B15" s="977"/>
      <c r="C15" s="977"/>
      <c r="D15" s="977"/>
      <c r="E15" s="977"/>
      <c r="F15" s="977"/>
      <c r="G15" s="72"/>
      <c r="H15" s="72"/>
      <c r="I15" s="72"/>
    </row>
    <row r="16" spans="1:9" ht="49.5" customHeight="1" x14ac:dyDescent="0.25">
      <c r="A16" s="977" t="s">
        <v>7095</v>
      </c>
      <c r="B16" s="977"/>
      <c r="C16" s="977"/>
      <c r="D16" s="977"/>
      <c r="E16" s="977"/>
      <c r="F16" s="977"/>
      <c r="G16" s="72"/>
      <c r="H16" s="72"/>
      <c r="I16" s="72"/>
    </row>
    <row r="17" spans="1:9" x14ac:dyDescent="0.25">
      <c r="A17" s="977"/>
      <c r="B17" s="977"/>
      <c r="C17" s="977"/>
      <c r="D17" s="977"/>
      <c r="E17" s="977"/>
      <c r="F17" s="977"/>
      <c r="G17" s="72"/>
      <c r="H17" s="72"/>
      <c r="I17" s="72"/>
    </row>
    <row r="18" spans="1:9" x14ac:dyDescent="0.25">
      <c r="A18" s="978" t="s">
        <v>6816</v>
      </c>
      <c r="B18" s="978"/>
      <c r="C18" s="978"/>
      <c r="D18" s="978"/>
      <c r="E18" s="978"/>
      <c r="F18" s="978"/>
      <c r="G18" s="70"/>
      <c r="H18" s="70"/>
      <c r="I18" s="70"/>
    </row>
    <row r="19" spans="1:9" x14ac:dyDescent="0.25">
      <c r="A19" s="977"/>
      <c r="B19" s="977"/>
      <c r="C19" s="977"/>
      <c r="D19" s="977"/>
      <c r="E19" s="977"/>
      <c r="F19" s="977"/>
      <c r="G19" s="72"/>
      <c r="H19" s="72"/>
      <c r="I19" s="72"/>
    </row>
    <row r="20" spans="1:9" ht="84.75" customHeight="1" x14ac:dyDescent="0.25">
      <c r="A20" s="966" t="s">
        <v>7117</v>
      </c>
      <c r="B20" s="966"/>
      <c r="C20" s="966"/>
      <c r="D20" s="966"/>
      <c r="E20" s="966"/>
      <c r="F20" s="966"/>
      <c r="G20" s="72"/>
      <c r="H20" s="72"/>
      <c r="I20" s="72"/>
    </row>
    <row r="21" spans="1:9" x14ac:dyDescent="0.25">
      <c r="A21" s="977"/>
      <c r="B21" s="977"/>
      <c r="C21" s="977"/>
      <c r="D21" s="977"/>
      <c r="E21" s="977"/>
      <c r="F21" s="977"/>
      <c r="G21" s="72"/>
      <c r="H21" s="72"/>
      <c r="I21" s="72"/>
    </row>
    <row r="22" spans="1:9" ht="34.5" customHeight="1" x14ac:dyDescent="0.25">
      <c r="A22" s="977" t="s">
        <v>7033</v>
      </c>
      <c r="B22" s="977"/>
      <c r="C22" s="977"/>
      <c r="D22" s="977"/>
      <c r="E22" s="977"/>
      <c r="F22" s="977"/>
      <c r="G22" s="72"/>
      <c r="H22" s="72"/>
      <c r="I22" s="72"/>
    </row>
    <row r="23" spans="1:9" x14ac:dyDescent="0.25">
      <c r="A23" s="977"/>
      <c r="B23" s="977"/>
      <c r="C23" s="977"/>
      <c r="D23" s="977"/>
      <c r="E23" s="977"/>
      <c r="F23" s="977"/>
      <c r="G23" s="72"/>
      <c r="H23" s="72"/>
      <c r="I23" s="72"/>
    </row>
    <row r="24" spans="1:9" ht="118.5" customHeight="1" x14ac:dyDescent="0.25">
      <c r="A24" s="966" t="s">
        <v>7118</v>
      </c>
      <c r="B24" s="966"/>
      <c r="C24" s="966"/>
      <c r="D24" s="966"/>
      <c r="E24" s="966"/>
      <c r="F24" s="966"/>
      <c r="G24" s="72"/>
      <c r="H24" s="72"/>
      <c r="I24" s="72"/>
    </row>
    <row r="25" spans="1:9" x14ac:dyDescent="0.25">
      <c r="A25" s="966"/>
      <c r="B25" s="966"/>
      <c r="C25" s="966"/>
      <c r="D25" s="966"/>
      <c r="E25" s="966"/>
      <c r="F25" s="966"/>
      <c r="G25" s="72"/>
      <c r="H25" s="72"/>
      <c r="I25" s="72"/>
    </row>
    <row r="26" spans="1:9" x14ac:dyDescent="0.25">
      <c r="A26" s="498"/>
      <c r="B26" s="498"/>
      <c r="C26" s="498"/>
      <c r="D26" s="498"/>
      <c r="E26" s="498"/>
      <c r="F26" s="498"/>
      <c r="G26" s="72"/>
      <c r="H26" s="72"/>
      <c r="I26" s="72"/>
    </row>
    <row r="27" spans="1:9" x14ac:dyDescent="0.25">
      <c r="A27" s="498"/>
      <c r="B27" s="498"/>
      <c r="C27" s="498"/>
      <c r="D27" s="498"/>
      <c r="E27" s="498"/>
      <c r="F27" s="498"/>
      <c r="G27" s="72"/>
      <c r="H27" s="72"/>
      <c r="I27" s="72"/>
    </row>
    <row r="28" spans="1:9" x14ac:dyDescent="0.25">
      <c r="A28" s="966"/>
      <c r="B28" s="966"/>
      <c r="C28" s="966"/>
      <c r="D28" s="966"/>
      <c r="E28" s="966"/>
      <c r="F28" s="966"/>
      <c r="G28" s="72"/>
      <c r="H28" s="72"/>
      <c r="I28" s="72"/>
    </row>
    <row r="29" spans="1:9" x14ac:dyDescent="0.25">
      <c r="A29" s="965" t="s">
        <v>7034</v>
      </c>
      <c r="B29" s="965"/>
      <c r="C29" s="965"/>
      <c r="D29" s="965"/>
      <c r="E29" s="965"/>
      <c r="F29" s="965"/>
      <c r="G29" s="72"/>
      <c r="H29" s="72"/>
      <c r="I29" s="72"/>
    </row>
    <row r="30" spans="1:9" x14ac:dyDescent="0.25">
      <c r="A30" s="966"/>
      <c r="B30" s="966"/>
      <c r="C30" s="966"/>
      <c r="D30" s="966"/>
      <c r="E30" s="966"/>
      <c r="F30" s="966"/>
      <c r="G30" s="72"/>
      <c r="H30" s="72"/>
      <c r="I30" s="72"/>
    </row>
    <row r="31" spans="1:9" ht="50.25" customHeight="1" x14ac:dyDescent="0.25">
      <c r="A31" s="966" t="s">
        <v>7035</v>
      </c>
      <c r="B31" s="966"/>
      <c r="C31" s="966"/>
      <c r="D31" s="966"/>
      <c r="E31" s="966"/>
      <c r="F31" s="966"/>
      <c r="G31" s="72"/>
      <c r="H31" s="72"/>
      <c r="I31" s="72"/>
    </row>
    <row r="32" spans="1:9" x14ac:dyDescent="0.25">
      <c r="A32" s="966"/>
      <c r="B32" s="966"/>
      <c r="C32" s="966"/>
      <c r="D32" s="966"/>
      <c r="E32" s="966"/>
      <c r="F32" s="966"/>
      <c r="G32" s="72"/>
      <c r="H32" s="72"/>
      <c r="I32" s="72"/>
    </row>
    <row r="33" spans="1:17" x14ac:dyDescent="0.25">
      <c r="A33" s="965" t="s">
        <v>7036</v>
      </c>
      <c r="B33" s="965"/>
      <c r="C33" s="965"/>
      <c r="D33" s="965"/>
      <c r="E33" s="965"/>
      <c r="F33" s="965"/>
      <c r="G33" s="72"/>
      <c r="H33" s="72"/>
      <c r="I33" s="72"/>
    </row>
    <row r="34" spans="1:17" x14ac:dyDescent="0.25">
      <c r="A34" s="966"/>
      <c r="B34" s="966"/>
      <c r="C34" s="966"/>
      <c r="D34" s="966"/>
      <c r="E34" s="966"/>
      <c r="F34" s="966"/>
      <c r="G34" s="72"/>
      <c r="H34" s="72"/>
      <c r="I34" s="72"/>
    </row>
    <row r="35" spans="1:17" ht="36.75" customHeight="1" x14ac:dyDescent="0.25">
      <c r="A35" s="966" t="s">
        <v>7037</v>
      </c>
      <c r="B35" s="966"/>
      <c r="C35" s="966"/>
      <c r="D35" s="966"/>
      <c r="E35" s="966"/>
      <c r="F35" s="966"/>
      <c r="G35" s="72"/>
      <c r="H35" s="72"/>
      <c r="I35" s="72"/>
    </row>
    <row r="36" spans="1:17" x14ac:dyDescent="0.25">
      <c r="A36" s="977"/>
      <c r="B36" s="977"/>
      <c r="C36" s="977"/>
      <c r="D36" s="977"/>
      <c r="E36" s="977"/>
      <c r="F36" s="977"/>
      <c r="G36" s="72"/>
      <c r="H36" s="72"/>
      <c r="I36" s="72"/>
    </row>
    <row r="37" spans="1:17" ht="84" customHeight="1" x14ac:dyDescent="0.25">
      <c r="A37" s="966" t="s">
        <v>7038</v>
      </c>
      <c r="B37" s="966"/>
      <c r="C37" s="966"/>
      <c r="D37" s="966"/>
      <c r="E37" s="966"/>
      <c r="F37" s="966"/>
      <c r="G37" s="72"/>
      <c r="H37" s="72"/>
      <c r="I37" s="72"/>
    </row>
    <row r="38" spans="1:17" x14ac:dyDescent="0.25">
      <c r="A38" s="977"/>
      <c r="B38" s="977"/>
      <c r="C38" s="977"/>
      <c r="D38" s="977"/>
      <c r="E38" s="977"/>
      <c r="F38" s="977"/>
      <c r="G38" s="72"/>
      <c r="H38" s="72"/>
      <c r="I38" s="72"/>
    </row>
    <row r="39" spans="1:17" x14ac:dyDescent="0.25">
      <c r="A39" s="978" t="s">
        <v>6817</v>
      </c>
      <c r="B39" s="978"/>
      <c r="C39" s="978"/>
      <c r="D39" s="978"/>
      <c r="E39" s="978"/>
      <c r="F39" s="978"/>
      <c r="G39" s="70"/>
      <c r="H39" s="70"/>
      <c r="I39" s="70"/>
    </row>
    <row r="40" spans="1:17" x14ac:dyDescent="0.25">
      <c r="A40" s="977"/>
      <c r="B40" s="977"/>
      <c r="C40" s="977"/>
      <c r="D40" s="977"/>
      <c r="E40" s="977"/>
      <c r="F40" s="977"/>
      <c r="G40" s="72"/>
      <c r="H40" s="72"/>
      <c r="I40" s="72"/>
    </row>
    <row r="41" spans="1:17" ht="51" customHeight="1" x14ac:dyDescent="0.25">
      <c r="A41" s="966" t="s">
        <v>7039</v>
      </c>
      <c r="B41" s="966"/>
      <c r="C41" s="966"/>
      <c r="D41" s="966"/>
      <c r="E41" s="966"/>
      <c r="F41" s="966"/>
      <c r="G41" s="72"/>
      <c r="H41" s="72"/>
      <c r="I41" s="72"/>
    </row>
    <row r="42" spans="1:17" x14ac:dyDescent="0.25">
      <c r="A42" s="977"/>
      <c r="B42" s="977"/>
      <c r="C42" s="977"/>
      <c r="D42" s="977"/>
      <c r="E42" s="977"/>
      <c r="F42" s="977"/>
      <c r="G42" s="72"/>
      <c r="H42" s="72"/>
      <c r="I42" s="72"/>
    </row>
    <row r="43" spans="1:17" x14ac:dyDescent="0.25">
      <c r="A43" s="978" t="e">
        <f>CONCATENATE(#REF!," - CAIXA E EQUIVALENTES DE CAIXA")</f>
        <v>#REF!</v>
      </c>
      <c r="B43" s="978"/>
      <c r="C43" s="978"/>
      <c r="D43" s="978"/>
      <c r="E43" s="978"/>
      <c r="F43" s="978"/>
      <c r="G43" s="70"/>
      <c r="H43" s="70"/>
      <c r="I43" s="70"/>
    </row>
    <row r="44" spans="1:17" ht="50.25" customHeight="1" x14ac:dyDescent="0.25">
      <c r="A44" s="966" t="s">
        <v>7119</v>
      </c>
      <c r="B44" s="966"/>
      <c r="C44" s="966"/>
      <c r="D44" s="966"/>
      <c r="E44" s="966"/>
      <c r="F44" s="966"/>
      <c r="G44" s="70"/>
      <c r="H44" s="70"/>
      <c r="I44" s="70"/>
    </row>
    <row r="45" spans="1:17" x14ac:dyDescent="0.25">
      <c r="A45" s="984"/>
      <c r="B45" s="984"/>
      <c r="C45" s="984"/>
      <c r="D45" s="984"/>
      <c r="E45" s="984"/>
      <c r="F45" s="984"/>
      <c r="G45" s="70"/>
      <c r="H45" s="70"/>
      <c r="I45" s="70"/>
    </row>
    <row r="46" spans="1:17" x14ac:dyDescent="0.25">
      <c r="A46" s="499" t="s">
        <v>6804</v>
      </c>
      <c r="B46" s="500"/>
      <c r="C46" s="501" t="s">
        <v>6805</v>
      </c>
      <c r="D46" s="502"/>
      <c r="E46" s="501" t="s">
        <v>6843</v>
      </c>
      <c r="F46" s="503"/>
      <c r="G46" s="70"/>
      <c r="H46" s="70"/>
      <c r="I46" s="419" t="s">
        <v>7005</v>
      </c>
      <c r="O46" s="73"/>
    </row>
    <row r="47" spans="1:17" x14ac:dyDescent="0.25">
      <c r="A47" s="504" t="s">
        <v>4489</v>
      </c>
      <c r="B47" s="351"/>
      <c r="C47" s="73">
        <v>18500.694489999998</v>
      </c>
      <c r="D47" s="71"/>
      <c r="E47" s="73">
        <v>19286</v>
      </c>
      <c r="F47" s="505"/>
      <c r="G47" s="421"/>
      <c r="H47" s="70"/>
      <c r="I47" s="420">
        <v>100</v>
      </c>
      <c r="O47" s="73">
        <v>18500.694489999998</v>
      </c>
      <c r="Q47" s="619">
        <f>O47/$O$50</f>
        <v>0.39756737137482501</v>
      </c>
    </row>
    <row r="48" spans="1:17" x14ac:dyDescent="0.25">
      <c r="A48" s="504" t="s">
        <v>4490</v>
      </c>
      <c r="B48" s="351"/>
      <c r="C48" s="73">
        <v>441.61497000000003</v>
      </c>
      <c r="D48" s="71"/>
      <c r="E48" s="73">
        <v>499</v>
      </c>
      <c r="F48" s="505"/>
      <c r="G48" s="421"/>
      <c r="H48" s="70"/>
      <c r="I48" s="420" t="s">
        <v>7004</v>
      </c>
      <c r="O48" s="73">
        <v>441.61497000000003</v>
      </c>
      <c r="Q48" s="619">
        <f>O48/$O$50</f>
        <v>9.4900060577494689E-3</v>
      </c>
    </row>
    <row r="49" spans="1:19" x14ac:dyDescent="0.25">
      <c r="A49" s="504" t="s">
        <v>4491</v>
      </c>
      <c r="B49" s="351"/>
      <c r="C49" s="73">
        <v>27592.431120000001</v>
      </c>
      <c r="D49" s="71"/>
      <c r="E49" s="73">
        <v>29510</v>
      </c>
      <c r="F49" s="505"/>
      <c r="G49" s="421"/>
      <c r="H49" s="70"/>
      <c r="I49" s="420">
        <v>105</v>
      </c>
      <c r="O49" s="73">
        <v>27592.431120000001</v>
      </c>
      <c r="Q49" s="619">
        <f>O49/$O$50</f>
        <v>0.59294262256742558</v>
      </c>
    </row>
    <row r="50" spans="1:19" x14ac:dyDescent="0.25">
      <c r="A50" s="506" t="s">
        <v>4503</v>
      </c>
      <c r="B50" s="507"/>
      <c r="C50" s="562">
        <f>SUM(C47:C49)</f>
        <v>46534.740579999998</v>
      </c>
      <c r="D50" s="563"/>
      <c r="E50" s="562">
        <v>49295</v>
      </c>
      <c r="F50" s="508"/>
      <c r="G50" s="556" t="e">
        <f>ROUND((#REF!-C50),0)</f>
        <v>#REF!</v>
      </c>
      <c r="H50" s="556" t="e">
        <f>ROUND((#REF!-E50),0)</f>
        <v>#REF!</v>
      </c>
      <c r="I50" s="71"/>
      <c r="O50" s="620">
        <v>46534.740579999998</v>
      </c>
      <c r="Q50" s="619">
        <f>O50/$O$50</f>
        <v>1</v>
      </c>
      <c r="S50" s="621" t="s">
        <v>7098</v>
      </c>
    </row>
    <row r="51" spans="1:19" x14ac:dyDescent="0.25">
      <c r="A51" s="977"/>
      <c r="B51" s="977"/>
      <c r="C51" s="977"/>
      <c r="D51" s="977"/>
      <c r="E51" s="977"/>
      <c r="F51" s="977"/>
      <c r="G51" s="70"/>
      <c r="H51" s="70"/>
      <c r="I51" s="70"/>
      <c r="O51" s="73">
        <v>13822</v>
      </c>
      <c r="Q51" s="619">
        <f>O51*Q50/O50</f>
        <v>0.29702540140388167</v>
      </c>
      <c r="S51" s="618">
        <v>111122003</v>
      </c>
    </row>
    <row r="52" spans="1:19" ht="83.25" customHeight="1" x14ac:dyDescent="0.25">
      <c r="A52" s="987" t="s">
        <v>7097</v>
      </c>
      <c r="B52" s="987"/>
      <c r="C52" s="987"/>
      <c r="D52" s="987"/>
      <c r="E52" s="987"/>
      <c r="F52" s="987"/>
      <c r="G52" s="70"/>
      <c r="H52" s="70"/>
      <c r="I52" s="590"/>
    </row>
    <row r="53" spans="1:19" x14ac:dyDescent="0.25">
      <c r="A53" s="977"/>
      <c r="B53" s="977"/>
      <c r="C53" s="977"/>
      <c r="D53" s="977"/>
      <c r="E53" s="977"/>
      <c r="F53" s="977"/>
      <c r="G53" s="70"/>
      <c r="H53" s="70"/>
      <c r="I53" s="70"/>
      <c r="O53" s="73"/>
    </row>
    <row r="54" spans="1:19" x14ac:dyDescent="0.25">
      <c r="A54" s="986" t="e">
        <f>CONCATENATE(#REF!," - CONTAS A RECEBER")</f>
        <v>#REF!</v>
      </c>
      <c r="B54" s="986"/>
      <c r="C54" s="986"/>
      <c r="D54" s="986"/>
      <c r="E54" s="986"/>
      <c r="F54" s="986"/>
      <c r="G54" s="70"/>
      <c r="H54" s="70"/>
      <c r="I54" s="70"/>
      <c r="O54" s="73"/>
    </row>
    <row r="55" spans="1:19" x14ac:dyDescent="0.25">
      <c r="A55" s="977" t="s">
        <v>7016</v>
      </c>
      <c r="B55" s="977"/>
      <c r="C55" s="977"/>
      <c r="D55" s="977"/>
      <c r="E55" s="977"/>
      <c r="F55" s="977"/>
      <c r="G55" s="70"/>
      <c r="H55" s="70"/>
      <c r="I55" s="70"/>
    </row>
    <row r="56" spans="1:19" x14ac:dyDescent="0.25">
      <c r="A56" s="977"/>
      <c r="B56" s="977"/>
      <c r="C56" s="977"/>
      <c r="D56" s="977"/>
      <c r="E56" s="977"/>
      <c r="F56" s="977"/>
      <c r="G56" s="70"/>
      <c r="H56" s="70"/>
      <c r="I56" s="70"/>
    </row>
    <row r="57" spans="1:19" x14ac:dyDescent="0.25">
      <c r="A57" s="499" t="s">
        <v>6806</v>
      </c>
      <c r="B57" s="500"/>
      <c r="C57" s="501" t="str">
        <f>C46</f>
        <v xml:space="preserve"> Março 2025</v>
      </c>
      <c r="D57" s="502"/>
      <c r="E57" s="501" t="str">
        <f>E46</f>
        <v xml:space="preserve"> Dezembro 2024</v>
      </c>
      <c r="F57" s="503"/>
      <c r="G57" s="70"/>
      <c r="H57" s="70"/>
      <c r="I57" s="479" t="s">
        <v>7015</v>
      </c>
    </row>
    <row r="58" spans="1:19" x14ac:dyDescent="0.25">
      <c r="A58" s="504" t="s">
        <v>6807</v>
      </c>
      <c r="B58" s="351"/>
      <c r="C58" s="73">
        <f>21972097.09/1000</f>
        <v>21972.097089999999</v>
      </c>
      <c r="D58" s="71"/>
      <c r="E58" s="73">
        <v>12192</v>
      </c>
      <c r="F58" s="505"/>
      <c r="G58" s="70"/>
      <c r="H58" s="70"/>
      <c r="I58" s="420" t="s">
        <v>18</v>
      </c>
    </row>
    <row r="59" spans="1:19" x14ac:dyDescent="0.25">
      <c r="A59" s="504" t="s">
        <v>6808</v>
      </c>
      <c r="B59" s="351"/>
      <c r="C59" s="73">
        <f>555018.96/1000</f>
        <v>555.01895999999999</v>
      </c>
      <c r="D59" s="71"/>
      <c r="E59" s="73">
        <v>343</v>
      </c>
      <c r="F59" s="505"/>
      <c r="G59" s="70"/>
      <c r="H59" s="70"/>
      <c r="I59" s="420" t="s">
        <v>32</v>
      </c>
    </row>
    <row r="60" spans="1:19" x14ac:dyDescent="0.25">
      <c r="A60" s="504" t="s">
        <v>6809</v>
      </c>
      <c r="B60" s="351"/>
      <c r="C60" s="73">
        <f>24384326.68/1000</f>
        <v>24384.326679999998</v>
      </c>
      <c r="D60" s="71"/>
      <c r="E60" s="73">
        <v>27845</v>
      </c>
      <c r="F60" s="505"/>
      <c r="G60" s="70"/>
      <c r="H60" s="70"/>
      <c r="I60" s="420" t="s">
        <v>5282</v>
      </c>
    </row>
    <row r="61" spans="1:19" x14ac:dyDescent="0.25">
      <c r="A61" s="506" t="s">
        <v>4503</v>
      </c>
      <c r="B61" s="507"/>
      <c r="C61" s="562">
        <f>SUM(C57:C60)</f>
        <v>46911.442729999995</v>
      </c>
      <c r="D61" s="563"/>
      <c r="E61" s="562">
        <f>SUM(E57:E60)</f>
        <v>40380</v>
      </c>
      <c r="F61" s="508"/>
      <c r="G61" s="556" t="e">
        <f>ROUND((#REF!-C61),0)</f>
        <v>#REF!</v>
      </c>
      <c r="H61" s="556" t="e">
        <f>ROUND((#REF!-E61),0)</f>
        <v>#REF!</v>
      </c>
      <c r="I61" s="70"/>
    </row>
    <row r="62" spans="1:19" x14ac:dyDescent="0.25">
      <c r="A62" s="1000" t="s">
        <v>7096</v>
      </c>
      <c r="B62" s="1000"/>
      <c r="C62" s="1000"/>
      <c r="D62" s="1000"/>
      <c r="E62" s="1000"/>
      <c r="F62" s="1000"/>
      <c r="G62" s="70"/>
      <c r="H62" s="70"/>
      <c r="I62" s="70"/>
    </row>
    <row r="63" spans="1:19" ht="67.5" customHeight="1" x14ac:dyDescent="0.25">
      <c r="A63" s="966" t="e">
        <f>CONCATENATE(A62,#REF!+6,").")</f>
        <v>#REF!</v>
      </c>
      <c r="B63" s="966"/>
      <c r="C63" s="966"/>
      <c r="D63" s="966"/>
      <c r="E63" s="966"/>
      <c r="F63" s="966"/>
      <c r="G63" s="70"/>
      <c r="H63" s="70"/>
      <c r="I63" s="70"/>
    </row>
    <row r="64" spans="1:19" ht="36" customHeight="1" x14ac:dyDescent="0.25">
      <c r="A64" s="966" t="e">
        <f>CONCATENATE("b) Subvenções a Receber – correspondem os valores a receber do tesouro nacional, a título de subvenções para pagamento das dívidas com o Nucleos. (Vide Nota ",#REF!,")")</f>
        <v>#REF!</v>
      </c>
      <c r="B64" s="966"/>
      <c r="C64" s="966"/>
      <c r="D64" s="966"/>
      <c r="E64" s="966"/>
      <c r="F64" s="966"/>
      <c r="G64" s="70"/>
      <c r="H64" s="70"/>
      <c r="I64" s="70"/>
    </row>
    <row r="65" spans="1:9" x14ac:dyDescent="0.25">
      <c r="A65" s="977"/>
      <c r="B65" s="977"/>
      <c r="C65" s="977"/>
      <c r="D65" s="977"/>
      <c r="E65" s="977"/>
      <c r="F65" s="977"/>
      <c r="G65" s="70"/>
      <c r="H65" s="70"/>
      <c r="I65" s="70"/>
    </row>
    <row r="66" spans="1:9" x14ac:dyDescent="0.25">
      <c r="A66" s="986" t="e">
        <f>CONCATENATE(#REF!," - ESTOQUES")</f>
        <v>#REF!</v>
      </c>
      <c r="B66" s="986"/>
      <c r="C66" s="986"/>
      <c r="D66" s="986"/>
      <c r="E66" s="986"/>
      <c r="F66" s="986"/>
      <c r="G66" s="70"/>
      <c r="H66" s="70"/>
      <c r="I66" s="70"/>
    </row>
    <row r="67" spans="1:9" ht="152.25" customHeight="1" x14ac:dyDescent="0.25">
      <c r="A67" s="966" t="s">
        <v>7112</v>
      </c>
      <c r="B67" s="966"/>
      <c r="C67" s="966"/>
      <c r="D67" s="966"/>
      <c r="E67" s="966"/>
      <c r="F67" s="966"/>
      <c r="G67" s="70"/>
      <c r="H67" s="70"/>
      <c r="I67" s="70"/>
    </row>
    <row r="68" spans="1:9" x14ac:dyDescent="0.25">
      <c r="A68" s="977"/>
      <c r="B68" s="977"/>
      <c r="C68" s="977"/>
      <c r="D68" s="977"/>
      <c r="E68" s="977"/>
      <c r="F68" s="977"/>
      <c r="G68" s="70"/>
      <c r="H68" s="70"/>
      <c r="I68" s="70"/>
    </row>
    <row r="69" spans="1:9" x14ac:dyDescent="0.25">
      <c r="A69" s="499" t="s">
        <v>6810</v>
      </c>
      <c r="B69" s="500"/>
      <c r="C69" s="501" t="str">
        <f>C57</f>
        <v xml:space="preserve"> Março 2025</v>
      </c>
      <c r="D69" s="502"/>
      <c r="E69" s="501" t="str">
        <f>E57</f>
        <v xml:space="preserve"> Dezembro 2024</v>
      </c>
      <c r="F69" s="503"/>
      <c r="G69" s="70"/>
      <c r="H69" s="70"/>
      <c r="I69" s="70"/>
    </row>
    <row r="70" spans="1:9" x14ac:dyDescent="0.25">
      <c r="A70" s="509" t="s">
        <v>4492</v>
      </c>
      <c r="B70" s="354"/>
      <c r="C70" s="355">
        <f>93610629.78/1000</f>
        <v>93610.629780000003</v>
      </c>
      <c r="D70" s="356"/>
      <c r="E70" s="357">
        <v>62131</v>
      </c>
      <c r="F70" s="505"/>
      <c r="G70" s="70"/>
      <c r="H70" s="70"/>
      <c r="I70" s="70"/>
    </row>
    <row r="71" spans="1:9" x14ac:dyDescent="0.25">
      <c r="A71" s="509" t="s">
        <v>6812</v>
      </c>
      <c r="B71" s="354"/>
      <c r="C71" s="355">
        <f>37349256.34/1000</f>
        <v>37349.256340000007</v>
      </c>
      <c r="D71" s="356"/>
      <c r="E71" s="355">
        <v>57808</v>
      </c>
      <c r="F71" s="505"/>
      <c r="G71" s="70"/>
      <c r="H71" s="70"/>
      <c r="I71" s="70"/>
    </row>
    <row r="72" spans="1:9" x14ac:dyDescent="0.25">
      <c r="A72" s="509" t="s">
        <v>4494</v>
      </c>
      <c r="B72" s="354"/>
      <c r="C72" s="355">
        <f>8748929.84/1000</f>
        <v>8748.9298400000007</v>
      </c>
      <c r="D72" s="356"/>
      <c r="E72" s="355">
        <v>8657</v>
      </c>
      <c r="F72" s="505"/>
      <c r="G72" s="70"/>
      <c r="H72" s="70"/>
      <c r="I72" s="70"/>
    </row>
    <row r="73" spans="1:9" x14ac:dyDescent="0.25">
      <c r="A73" s="509" t="s">
        <v>6813</v>
      </c>
      <c r="B73" s="354"/>
      <c r="C73" s="355">
        <f>4409091/1000</f>
        <v>4409.0910000000003</v>
      </c>
      <c r="D73" s="356"/>
      <c r="E73" s="355">
        <v>4409</v>
      </c>
      <c r="F73" s="505"/>
      <c r="G73" s="70"/>
      <c r="H73" s="70"/>
      <c r="I73" s="70"/>
    </row>
    <row r="74" spans="1:9" x14ac:dyDescent="0.25">
      <c r="A74" s="509" t="s">
        <v>6814</v>
      </c>
      <c r="B74" s="358"/>
      <c r="C74" s="355">
        <f>13560429.05/1000</f>
        <v>13560.429050000001</v>
      </c>
      <c r="D74" s="359"/>
      <c r="E74" s="355">
        <v>14723</v>
      </c>
      <c r="F74" s="505"/>
      <c r="G74" s="70"/>
      <c r="H74" s="70"/>
      <c r="I74" s="70"/>
    </row>
    <row r="75" spans="1:9" x14ac:dyDescent="0.25">
      <c r="A75" s="506" t="s">
        <v>4503</v>
      </c>
      <c r="B75" s="507"/>
      <c r="C75" s="562">
        <f>SUM(C70:C74)</f>
        <v>157678.33601</v>
      </c>
      <c r="D75" s="563"/>
      <c r="E75" s="562">
        <f>SUM(E70:E74)</f>
        <v>147728</v>
      </c>
      <c r="F75" s="508"/>
      <c r="G75" s="556" t="e">
        <f>ROUND((#REF!-C75),0)</f>
        <v>#REF!</v>
      </c>
      <c r="H75" s="556" t="e">
        <f>ROUND((#REF!-E75),0)</f>
        <v>#REF!</v>
      </c>
      <c r="I75" s="70"/>
    </row>
    <row r="76" spans="1:9" x14ac:dyDescent="0.25">
      <c r="A76" s="977"/>
      <c r="B76" s="977"/>
      <c r="C76" s="977"/>
      <c r="D76" s="977"/>
      <c r="E76" s="977"/>
      <c r="F76" s="977"/>
      <c r="G76" s="70"/>
      <c r="H76" s="70"/>
      <c r="I76" s="70"/>
    </row>
    <row r="77" spans="1:9" ht="33.75" customHeight="1" x14ac:dyDescent="0.25">
      <c r="A77" s="966" t="s">
        <v>6811</v>
      </c>
      <c r="B77" s="966"/>
      <c r="C77" s="966"/>
      <c r="D77" s="966"/>
      <c r="E77" s="966"/>
      <c r="F77" s="966"/>
      <c r="G77" s="70"/>
      <c r="H77" s="70"/>
      <c r="I77" s="70"/>
    </row>
    <row r="78" spans="1:9" x14ac:dyDescent="0.25">
      <c r="A78" s="977"/>
      <c r="B78" s="977"/>
      <c r="C78" s="977"/>
      <c r="D78" s="977"/>
      <c r="E78" s="977"/>
      <c r="F78" s="977"/>
      <c r="G78" s="70"/>
      <c r="H78" s="70"/>
      <c r="I78" s="70"/>
    </row>
    <row r="79" spans="1:9" x14ac:dyDescent="0.25">
      <c r="A79" s="986" t="e">
        <f>CONCATENATE(#REF!," - IMPOSTOS E CONTRIBUIÇÕES A RECUPERAR/COMPENSAR")</f>
        <v>#REF!</v>
      </c>
      <c r="B79" s="986"/>
      <c r="C79" s="986"/>
      <c r="D79" s="986"/>
      <c r="E79" s="986"/>
      <c r="F79" s="986"/>
      <c r="G79" s="70"/>
      <c r="H79" s="70"/>
      <c r="I79" s="70"/>
    </row>
    <row r="80" spans="1:9" ht="95.25" customHeight="1" x14ac:dyDescent="0.25">
      <c r="A80" s="966" t="s">
        <v>7120</v>
      </c>
      <c r="B80" s="966"/>
      <c r="C80" s="966"/>
      <c r="D80" s="966"/>
      <c r="E80" s="966"/>
      <c r="F80" s="966"/>
      <c r="G80" s="70"/>
      <c r="H80" s="70"/>
      <c r="I80" s="70"/>
    </row>
    <row r="81" spans="1:9" x14ac:dyDescent="0.25">
      <c r="A81" s="977"/>
      <c r="B81" s="977"/>
      <c r="C81" s="977"/>
      <c r="D81" s="977"/>
      <c r="E81" s="977"/>
      <c r="F81" s="977"/>
      <c r="G81" s="70"/>
      <c r="H81" s="70"/>
      <c r="I81" s="70"/>
    </row>
    <row r="82" spans="1:9" x14ac:dyDescent="0.25">
      <c r="A82" s="499" t="s">
        <v>6818</v>
      </c>
      <c r="B82" s="500"/>
      <c r="C82" s="501" t="str">
        <f>C69</f>
        <v xml:space="preserve"> Março 2025</v>
      </c>
      <c r="D82" s="502"/>
      <c r="E82" s="501" t="str">
        <f>E69</f>
        <v xml:space="preserve"> Dezembro 2024</v>
      </c>
      <c r="F82" s="503"/>
      <c r="G82" s="70"/>
      <c r="H82" s="70"/>
      <c r="I82" s="70"/>
    </row>
    <row r="83" spans="1:9" x14ac:dyDescent="0.25">
      <c r="A83" s="510" t="s">
        <v>4495</v>
      </c>
      <c r="B83" s="372"/>
      <c r="C83" s="355">
        <f>1075867.75/1000</f>
        <v>1075.8677499999999</v>
      </c>
      <c r="D83" s="92"/>
      <c r="E83" s="355">
        <v>1075</v>
      </c>
      <c r="F83" s="505"/>
      <c r="G83" s="70"/>
      <c r="H83" s="70"/>
      <c r="I83" s="70"/>
    </row>
    <row r="84" spans="1:9" x14ac:dyDescent="0.25">
      <c r="A84" s="509" t="s">
        <v>6821</v>
      </c>
      <c r="B84" s="372"/>
      <c r="C84" s="355">
        <f>(1571694.61+1159767.01)/1000</f>
        <v>2731.46162</v>
      </c>
      <c r="D84" s="92"/>
      <c r="E84" s="355">
        <v>2723</v>
      </c>
      <c r="F84" s="505"/>
      <c r="G84" s="70"/>
      <c r="H84" s="70"/>
      <c r="I84" s="70"/>
    </row>
    <row r="85" spans="1:9" x14ac:dyDescent="0.25">
      <c r="A85" s="509" t="s">
        <v>5546</v>
      </c>
      <c r="B85" s="372"/>
      <c r="C85" s="355">
        <f>26730/1000</f>
        <v>26.73</v>
      </c>
      <c r="D85" s="92"/>
      <c r="E85" s="355">
        <v>27</v>
      </c>
      <c r="F85" s="505"/>
      <c r="G85" s="70"/>
      <c r="H85" s="70"/>
      <c r="I85" s="70"/>
    </row>
    <row r="86" spans="1:9" x14ac:dyDescent="0.25">
      <c r="A86" s="510" t="s">
        <v>4496</v>
      </c>
      <c r="B86" s="372"/>
      <c r="C86" s="355">
        <f>3326913.19/1000</f>
        <v>3326.9131899999998</v>
      </c>
      <c r="D86" s="359"/>
      <c r="E86" s="355">
        <v>3158</v>
      </c>
      <c r="F86" s="505"/>
      <c r="G86" s="70"/>
      <c r="H86" s="70"/>
      <c r="I86" s="70"/>
    </row>
    <row r="87" spans="1:9" x14ac:dyDescent="0.25">
      <c r="A87" s="510" t="s">
        <v>4497</v>
      </c>
      <c r="B87" s="372"/>
      <c r="C87" s="355">
        <f>720933.35/1000</f>
        <v>720.93335000000002</v>
      </c>
      <c r="D87" s="359"/>
      <c r="E87" s="355">
        <v>684</v>
      </c>
      <c r="F87" s="505"/>
      <c r="G87" s="70"/>
      <c r="H87" s="70"/>
      <c r="I87" s="70"/>
    </row>
    <row r="88" spans="1:9" x14ac:dyDescent="0.25">
      <c r="A88" s="510"/>
      <c r="B88" s="372"/>
      <c r="C88" s="353">
        <f>SUM(C83:C87)</f>
        <v>7881.9059100000004</v>
      </c>
      <c r="D88" s="71"/>
      <c r="E88" s="353">
        <f>SUM(E83:E87)</f>
        <v>7667</v>
      </c>
      <c r="F88" s="505"/>
      <c r="G88" s="70"/>
      <c r="H88" s="70"/>
      <c r="I88" s="70"/>
    </row>
    <row r="89" spans="1:9" x14ac:dyDescent="0.25">
      <c r="A89" s="510"/>
      <c r="B89" s="372"/>
      <c r="C89" s="359"/>
      <c r="D89" s="359"/>
      <c r="E89" s="359"/>
      <c r="F89" s="505"/>
      <c r="G89" s="70"/>
      <c r="H89" s="70"/>
      <c r="I89" s="70"/>
    </row>
    <row r="90" spans="1:9" x14ac:dyDescent="0.25">
      <c r="A90" s="511" t="s">
        <v>6819</v>
      </c>
      <c r="B90" s="372"/>
      <c r="C90" s="365" t="str">
        <f>C82</f>
        <v xml:space="preserve"> Março 2025</v>
      </c>
      <c r="D90" s="359"/>
      <c r="E90" s="365" t="str">
        <f>E82</f>
        <v xml:space="preserve"> Dezembro 2024</v>
      </c>
      <c r="F90" s="505"/>
      <c r="G90" s="70"/>
      <c r="H90" s="70"/>
      <c r="I90" s="70"/>
    </row>
    <row r="91" spans="1:9" x14ac:dyDescent="0.25">
      <c r="A91" s="510"/>
      <c r="B91" s="372"/>
      <c r="C91" s="359"/>
      <c r="D91" s="359"/>
      <c r="E91" s="359"/>
      <c r="F91" s="505"/>
      <c r="G91" s="70"/>
      <c r="H91" s="70"/>
      <c r="I91" s="70"/>
    </row>
    <row r="92" spans="1:9" x14ac:dyDescent="0.25">
      <c r="A92" s="510" t="s">
        <v>4498</v>
      </c>
      <c r="B92" s="372"/>
      <c r="C92" s="362">
        <f>3869121.98/1000</f>
        <v>3869.1219799999999</v>
      </c>
      <c r="D92" s="359"/>
      <c r="E92" s="362">
        <v>3863</v>
      </c>
      <c r="F92" s="505"/>
      <c r="G92" s="70"/>
      <c r="H92" s="70"/>
      <c r="I92" s="70"/>
    </row>
    <row r="93" spans="1:9" hidden="1" x14ac:dyDescent="0.25">
      <c r="A93" s="510" t="s">
        <v>4499</v>
      </c>
      <c r="B93" s="372"/>
      <c r="C93" s="364">
        <v>0</v>
      </c>
      <c r="D93" s="363"/>
      <c r="E93" s="364">
        <v>0</v>
      </c>
      <c r="F93" s="505"/>
      <c r="G93" s="70"/>
      <c r="H93" s="70"/>
      <c r="I93" s="70"/>
    </row>
    <row r="94" spans="1:9" x14ac:dyDescent="0.25">
      <c r="A94" s="510"/>
      <c r="B94" s="372"/>
      <c r="C94" s="353">
        <f>SUM(C92:C93)</f>
        <v>3869.1219799999999</v>
      </c>
      <c r="D94" s="71"/>
      <c r="E94" s="353">
        <f>SUM(E92:E93)</f>
        <v>3863</v>
      </c>
      <c r="F94" s="505"/>
      <c r="G94" s="70"/>
      <c r="H94" s="70"/>
      <c r="I94" s="70"/>
    </row>
    <row r="95" spans="1:9" x14ac:dyDescent="0.25">
      <c r="A95" s="510"/>
      <c r="B95" s="372"/>
      <c r="C95" s="359"/>
      <c r="D95" s="359"/>
      <c r="E95" s="359"/>
      <c r="F95" s="505"/>
      <c r="G95" s="70"/>
      <c r="H95" s="70"/>
      <c r="I95" s="70"/>
    </row>
    <row r="96" spans="1:9" x14ac:dyDescent="0.25">
      <c r="A96" s="506" t="s">
        <v>6820</v>
      </c>
      <c r="B96" s="507"/>
      <c r="C96" s="562">
        <f>C88+C94</f>
        <v>11751.027890000001</v>
      </c>
      <c r="D96" s="563"/>
      <c r="E96" s="562">
        <f>E88+E94</f>
        <v>11530</v>
      </c>
      <c r="F96" s="508"/>
      <c r="G96" s="556" t="e">
        <f>ROUND((#REF!-C96),0)</f>
        <v>#REF!</v>
      </c>
      <c r="H96" s="556" t="e">
        <f>ROUND((#REF!-E96),0)</f>
        <v>#REF!</v>
      </c>
      <c r="I96" s="70"/>
    </row>
    <row r="97" spans="1:9" x14ac:dyDescent="0.25">
      <c r="A97" s="977"/>
      <c r="B97" s="977"/>
      <c r="C97" s="977"/>
      <c r="D97" s="977"/>
      <c r="E97" s="977"/>
      <c r="F97" s="977"/>
      <c r="G97" s="70"/>
      <c r="H97" s="70"/>
      <c r="I97" s="70"/>
    </row>
    <row r="98" spans="1:9" x14ac:dyDescent="0.25">
      <c r="A98" s="986" t="e">
        <f>CONCATENATE(#REF!," - OUTROS CRÉDITOS")</f>
        <v>#REF!</v>
      </c>
      <c r="B98" s="986"/>
      <c r="C98" s="986"/>
      <c r="D98" s="986"/>
      <c r="E98" s="986"/>
      <c r="F98" s="986"/>
      <c r="G98" s="70"/>
      <c r="H98" s="70"/>
      <c r="I98" s="70"/>
    </row>
    <row r="99" spans="1:9" ht="16.5" x14ac:dyDescent="0.25">
      <c r="A99" s="977"/>
      <c r="B99" s="977"/>
      <c r="C99" s="977"/>
      <c r="D99" s="977"/>
      <c r="E99" s="977"/>
      <c r="F99" s="977"/>
      <c r="G99" s="75"/>
      <c r="H99" s="75"/>
      <c r="I99" s="75"/>
    </row>
    <row r="100" spans="1:9" x14ac:dyDescent="0.25">
      <c r="A100" s="499" t="s">
        <v>6825</v>
      </c>
      <c r="B100" s="500"/>
      <c r="C100" s="501" t="str">
        <f>C90</f>
        <v xml:space="preserve"> Março 2025</v>
      </c>
      <c r="D100" s="502"/>
      <c r="E100" s="501" t="str">
        <f>E90</f>
        <v xml:space="preserve"> Dezembro 2024</v>
      </c>
      <c r="F100" s="503"/>
      <c r="G100" s="70"/>
      <c r="H100" s="70"/>
      <c r="I100" s="70"/>
    </row>
    <row r="101" spans="1:9" x14ac:dyDescent="0.25">
      <c r="A101" s="512" t="s">
        <v>6822</v>
      </c>
      <c r="B101" s="372"/>
      <c r="C101" s="366">
        <v>10673</v>
      </c>
      <c r="D101" s="367"/>
      <c r="E101" s="366">
        <v>10585</v>
      </c>
      <c r="F101" s="505"/>
      <c r="G101" s="70"/>
      <c r="H101" s="70"/>
      <c r="I101" s="70"/>
    </row>
    <row r="102" spans="1:9" x14ac:dyDescent="0.25">
      <c r="A102" s="512" t="s">
        <v>6841</v>
      </c>
      <c r="B102" s="372"/>
      <c r="C102" s="366">
        <v>3491</v>
      </c>
      <c r="D102" s="367"/>
      <c r="E102" s="366">
        <v>4392</v>
      </c>
      <c r="F102" s="505"/>
      <c r="G102" s="70"/>
      <c r="H102" s="70"/>
      <c r="I102" s="70"/>
    </row>
    <row r="103" spans="1:9" x14ac:dyDescent="0.25">
      <c r="A103" s="513" t="s">
        <v>6823</v>
      </c>
      <c r="B103" s="372"/>
      <c r="C103" s="366">
        <v>5310</v>
      </c>
      <c r="D103" s="367"/>
      <c r="E103" s="366">
        <v>4150</v>
      </c>
      <c r="F103" s="505"/>
      <c r="H103" s="70"/>
      <c r="I103" s="479"/>
    </row>
    <row r="104" spans="1:9" hidden="1" x14ac:dyDescent="0.25">
      <c r="A104" s="512" t="s">
        <v>6824</v>
      </c>
      <c r="B104" s="372"/>
      <c r="C104" s="93">
        <v>0</v>
      </c>
      <c r="D104" s="367"/>
      <c r="E104" s="93">
        <v>0</v>
      </c>
      <c r="F104" s="505"/>
      <c r="G104" s="70"/>
      <c r="H104" s="70"/>
      <c r="I104" s="70"/>
    </row>
    <row r="105" spans="1:9" x14ac:dyDescent="0.25">
      <c r="A105" s="506" t="s">
        <v>4503</v>
      </c>
      <c r="B105" s="507"/>
      <c r="C105" s="562">
        <f>SUM(C101:C104)</f>
        <v>19474</v>
      </c>
      <c r="D105" s="563"/>
      <c r="E105" s="562">
        <f>SUM(E101:E104)</f>
        <v>19127</v>
      </c>
      <c r="F105" s="508"/>
      <c r="G105" s="556" t="e">
        <f>ROUND((#REF!-C105),0)</f>
        <v>#REF!</v>
      </c>
      <c r="H105" s="556" t="e">
        <f>ROUND((#REF!-E105),0)</f>
        <v>#REF!</v>
      </c>
      <c r="I105" s="70"/>
    </row>
    <row r="106" spans="1:9" x14ac:dyDescent="0.25">
      <c r="A106" s="977"/>
      <c r="B106" s="977"/>
      <c r="C106" s="977"/>
      <c r="D106" s="977"/>
      <c r="E106" s="977"/>
      <c r="F106" s="977"/>
      <c r="G106" s="70"/>
      <c r="H106" s="70"/>
      <c r="I106" s="70"/>
    </row>
    <row r="107" spans="1:9" x14ac:dyDescent="0.25">
      <c r="A107" s="986" t="e">
        <f>CONCATENATE(#REF!," - CONTAS A RECEBER (NÃO CIRCULANTE)")</f>
        <v>#REF!</v>
      </c>
      <c r="B107" s="986"/>
      <c r="C107" s="986"/>
      <c r="D107" s="986"/>
      <c r="E107" s="986"/>
      <c r="F107" s="986"/>
      <c r="G107" s="70"/>
      <c r="H107" s="70"/>
      <c r="I107" s="70"/>
    </row>
    <row r="108" spans="1:9" ht="16.5" x14ac:dyDescent="0.25">
      <c r="A108" s="977" t="s">
        <v>6826</v>
      </c>
      <c r="B108" s="977"/>
      <c r="C108" s="977"/>
      <c r="D108" s="977"/>
      <c r="E108" s="977"/>
      <c r="F108" s="977"/>
      <c r="G108" s="75"/>
      <c r="H108" s="75"/>
      <c r="I108" s="75"/>
    </row>
    <row r="109" spans="1:9" x14ac:dyDescent="0.25">
      <c r="A109" s="977"/>
      <c r="B109" s="977"/>
      <c r="C109" s="977"/>
      <c r="D109" s="977"/>
      <c r="E109" s="977"/>
      <c r="F109" s="977"/>
      <c r="G109" s="70"/>
      <c r="H109" s="70"/>
      <c r="I109" s="70"/>
    </row>
    <row r="110" spans="1:9" x14ac:dyDescent="0.25">
      <c r="A110" s="499" t="s">
        <v>6827</v>
      </c>
      <c r="B110" s="500"/>
      <c r="C110" s="501" t="str">
        <f>C100</f>
        <v xml:space="preserve"> Março 2025</v>
      </c>
      <c r="D110" s="502"/>
      <c r="E110" s="501" t="str">
        <f>E100</f>
        <v xml:space="preserve"> Dezembro 2024</v>
      </c>
      <c r="F110" s="503"/>
      <c r="G110" s="70"/>
      <c r="H110" s="70"/>
      <c r="I110" s="70"/>
    </row>
    <row r="111" spans="1:9" x14ac:dyDescent="0.25">
      <c r="A111" s="514" t="s">
        <v>4500</v>
      </c>
      <c r="B111" s="372"/>
      <c r="C111" s="366"/>
      <c r="D111" s="366"/>
      <c r="E111" s="366"/>
      <c r="F111" s="505"/>
      <c r="G111" s="70"/>
      <c r="H111" s="70"/>
      <c r="I111" s="70"/>
    </row>
    <row r="112" spans="1:9" x14ac:dyDescent="0.25">
      <c r="A112" s="514" t="s">
        <v>4527</v>
      </c>
      <c r="B112" s="372"/>
      <c r="C112" s="368">
        <v>267527</v>
      </c>
      <c r="D112" s="368"/>
      <c r="E112" s="368">
        <v>258338</v>
      </c>
      <c r="F112" s="505"/>
      <c r="G112" s="70"/>
      <c r="H112" s="70"/>
      <c r="I112" s="70"/>
    </row>
    <row r="113" spans="1:9" x14ac:dyDescent="0.25">
      <c r="A113" s="514" t="s">
        <v>4501</v>
      </c>
      <c r="B113" s="372"/>
      <c r="C113" s="364">
        <v>23931</v>
      </c>
      <c r="D113" s="363"/>
      <c r="E113" s="364">
        <v>22834</v>
      </c>
      <c r="F113" s="505"/>
      <c r="G113" s="70"/>
      <c r="H113" s="70"/>
      <c r="I113" s="70"/>
    </row>
    <row r="114" spans="1:9" x14ac:dyDescent="0.25">
      <c r="A114" s="515" t="s">
        <v>4502</v>
      </c>
      <c r="B114" s="372"/>
      <c r="C114" s="353">
        <f>SUM(C112:C113)</f>
        <v>291458</v>
      </c>
      <c r="D114" s="71"/>
      <c r="E114" s="353">
        <f>SUM(E112:E113)</f>
        <v>281172</v>
      </c>
      <c r="F114" s="505"/>
      <c r="G114" s="70"/>
      <c r="H114" s="70"/>
      <c r="I114" s="70"/>
    </row>
    <row r="115" spans="1:9" x14ac:dyDescent="0.25">
      <c r="A115" s="514" t="s">
        <v>6834</v>
      </c>
      <c r="B115" s="372"/>
      <c r="C115" s="368">
        <v>22878</v>
      </c>
      <c r="D115" s="368"/>
      <c r="E115" s="368">
        <v>22918</v>
      </c>
      <c r="F115" s="505"/>
      <c r="H115" s="479"/>
      <c r="I115" s="479"/>
    </row>
    <row r="116" spans="1:9" x14ac:dyDescent="0.25">
      <c r="A116" s="514" t="s">
        <v>6835</v>
      </c>
      <c r="B116" s="372"/>
      <c r="C116" s="368">
        <v>2928</v>
      </c>
      <c r="D116" s="368"/>
      <c r="E116" s="368">
        <v>2928</v>
      </c>
      <c r="F116" s="505"/>
      <c r="G116" s="368"/>
      <c r="H116" s="70"/>
      <c r="I116" s="70"/>
    </row>
    <row r="117" spans="1:9" x14ac:dyDescent="0.25">
      <c r="A117" s="514" t="s">
        <v>6836</v>
      </c>
      <c r="B117" s="372"/>
      <c r="C117" s="368">
        <v>-25805</v>
      </c>
      <c r="D117" s="368"/>
      <c r="E117" s="368">
        <v>-25846</v>
      </c>
      <c r="F117" s="505"/>
      <c r="G117" s="70"/>
      <c r="H117" s="70"/>
      <c r="I117" s="70"/>
    </row>
    <row r="118" spans="1:9" x14ac:dyDescent="0.25">
      <c r="A118" s="514" t="s">
        <v>6837</v>
      </c>
      <c r="B118" s="372"/>
      <c r="C118" s="368">
        <v>29415</v>
      </c>
      <c r="D118" s="368"/>
      <c r="E118" s="368">
        <v>28356</v>
      </c>
      <c r="F118" s="505"/>
      <c r="G118" s="70"/>
      <c r="H118" s="70"/>
      <c r="I118" s="70"/>
    </row>
    <row r="119" spans="1:9" x14ac:dyDescent="0.25">
      <c r="A119" s="506" t="s">
        <v>4503</v>
      </c>
      <c r="B119" s="507"/>
      <c r="C119" s="562">
        <f>SUM(C114:C118)</f>
        <v>320874</v>
      </c>
      <c r="D119" s="563"/>
      <c r="E119" s="562">
        <f>SUM(E114:E118)</f>
        <v>309528</v>
      </c>
      <c r="F119" s="508"/>
      <c r="G119" s="556" t="e">
        <f>ROUND((#REF!-C119),0)</f>
        <v>#REF!</v>
      </c>
      <c r="H119" s="556" t="e">
        <f>ROUND((#REF!-E119),0)</f>
        <v>#REF!</v>
      </c>
      <c r="I119" s="70"/>
    </row>
    <row r="120" spans="1:9" x14ac:dyDescent="0.25">
      <c r="A120" s="977"/>
      <c r="B120" s="977"/>
      <c r="C120" s="977"/>
      <c r="D120" s="977"/>
      <c r="E120" s="977"/>
      <c r="F120" s="977"/>
      <c r="G120" s="70"/>
      <c r="H120" s="70"/>
      <c r="I120" s="70"/>
    </row>
    <row r="121" spans="1:9" ht="48" customHeight="1" x14ac:dyDescent="0.25">
      <c r="A121" s="977" t="e">
        <f>CONCATENATE("a) Subvenções a receber - correspondem os valores a receber do tesouro nacional, a título de subvenções para pagamento das dívidas com o Nucleos (vide Nota ",#REF!,") e as prováveis perdas referentes ao processos judiciais (vide Nota ",#REF!,")",".")</f>
        <v>#REF!</v>
      </c>
      <c r="B121" s="977"/>
      <c r="C121" s="977"/>
      <c r="D121" s="977"/>
      <c r="E121" s="977"/>
      <c r="F121" s="977"/>
      <c r="G121" s="70"/>
      <c r="H121" s="70"/>
      <c r="I121" s="70"/>
    </row>
    <row r="122" spans="1:9" ht="50.25" customHeight="1" x14ac:dyDescent="0.25">
      <c r="A122" s="966" t="s">
        <v>7021</v>
      </c>
      <c r="B122" s="966"/>
      <c r="C122" s="966"/>
      <c r="D122" s="966"/>
      <c r="E122" s="966"/>
      <c r="F122" s="966"/>
      <c r="G122" s="70"/>
      <c r="H122" s="70"/>
      <c r="I122" s="70"/>
    </row>
    <row r="123" spans="1:9" x14ac:dyDescent="0.25">
      <c r="A123" s="977" t="s">
        <v>7022</v>
      </c>
      <c r="B123" s="977"/>
      <c r="C123" s="977"/>
      <c r="D123" s="977"/>
      <c r="E123" s="977"/>
      <c r="F123" s="977"/>
      <c r="G123" s="70"/>
      <c r="H123" s="70"/>
      <c r="I123" s="70"/>
    </row>
    <row r="124" spans="1:9" x14ac:dyDescent="0.25">
      <c r="A124" s="977"/>
      <c r="B124" s="977"/>
      <c r="C124" s="977"/>
      <c r="D124" s="977"/>
      <c r="E124" s="977"/>
      <c r="F124" s="977"/>
      <c r="G124" s="70"/>
      <c r="H124" s="70"/>
      <c r="I124" s="70"/>
    </row>
    <row r="125" spans="1:9" x14ac:dyDescent="0.25">
      <c r="A125" s="499" t="s">
        <v>6833</v>
      </c>
      <c r="B125" s="500"/>
      <c r="C125" s="501" t="str">
        <f>C110</f>
        <v xml:space="preserve"> Março 2025</v>
      </c>
      <c r="D125" s="502"/>
      <c r="E125" s="501" t="str">
        <f>E110</f>
        <v xml:space="preserve"> Dezembro 2024</v>
      </c>
      <c r="F125" s="503"/>
      <c r="G125" s="70"/>
      <c r="H125" s="70"/>
      <c r="I125" s="70"/>
    </row>
    <row r="126" spans="1:9" x14ac:dyDescent="0.25">
      <c r="A126" s="514" t="s">
        <v>6828</v>
      </c>
      <c r="B126" s="372"/>
      <c r="C126" s="366">
        <f>22580300.2555/1000</f>
        <v>22580.300255499998</v>
      </c>
      <c r="D126" s="366"/>
      <c r="E126" s="366">
        <v>21516</v>
      </c>
      <c r="F126" s="505"/>
      <c r="G126" s="70"/>
      <c r="H126" s="70"/>
      <c r="I126" s="70"/>
    </row>
    <row r="127" spans="1:9" x14ac:dyDescent="0.25">
      <c r="A127" s="514" t="s">
        <v>6829</v>
      </c>
      <c r="B127" s="372"/>
      <c r="C127" s="368">
        <f>41741.4198/1000</f>
        <v>41.741419800000003</v>
      </c>
      <c r="D127" s="368"/>
      <c r="E127" s="368">
        <v>2</v>
      </c>
      <c r="F127" s="505"/>
      <c r="G127" s="70"/>
      <c r="H127" s="70"/>
      <c r="I127" s="70"/>
    </row>
    <row r="128" spans="1:9" x14ac:dyDescent="0.25">
      <c r="A128" s="514" t="s">
        <v>6830</v>
      </c>
      <c r="B128" s="372"/>
      <c r="C128" s="368">
        <f>2399932.6492/1000</f>
        <v>2399.9326492</v>
      </c>
      <c r="D128" s="368"/>
      <c r="E128" s="368">
        <v>1950</v>
      </c>
      <c r="F128" s="505"/>
      <c r="G128" s="70"/>
      <c r="H128" s="70"/>
      <c r="I128" s="70"/>
    </row>
    <row r="129" spans="1:9" x14ac:dyDescent="0.25">
      <c r="A129" s="514" t="s">
        <v>6831</v>
      </c>
      <c r="B129" s="372"/>
      <c r="C129" s="368">
        <f>3560889.4929/1000</f>
        <v>3560.8894928999998</v>
      </c>
      <c r="D129" s="368"/>
      <c r="E129" s="368">
        <v>4009</v>
      </c>
      <c r="F129" s="505"/>
      <c r="G129" s="70"/>
      <c r="H129" s="70"/>
      <c r="I129" s="70"/>
    </row>
    <row r="130" spans="1:9" x14ac:dyDescent="0.25">
      <c r="A130" s="514" t="s">
        <v>6832</v>
      </c>
      <c r="B130" s="372"/>
      <c r="C130" s="368">
        <f>832483.986/1000</f>
        <v>832.48398600000007</v>
      </c>
      <c r="D130" s="368"/>
      <c r="E130" s="368">
        <v>876</v>
      </c>
      <c r="F130" s="505"/>
      <c r="G130" s="70"/>
      <c r="H130" s="70"/>
      <c r="I130" s="70"/>
    </row>
    <row r="131" spans="1:9" x14ac:dyDescent="0.25">
      <c r="A131" s="506" t="s">
        <v>4503</v>
      </c>
      <c r="B131" s="507"/>
      <c r="C131" s="562">
        <f>SUM(C126:C130)</f>
        <v>29415.3478034</v>
      </c>
      <c r="D131" s="563"/>
      <c r="E131" s="562">
        <f>SUM(E126:E130)</f>
        <v>28353</v>
      </c>
      <c r="F131" s="508"/>
      <c r="G131" s="556">
        <f>ROUND((C118-C131),0)</f>
        <v>0</v>
      </c>
      <c r="H131" s="556">
        <f>E118-E131</f>
        <v>3</v>
      </c>
      <c r="I131" s="70"/>
    </row>
    <row r="132" spans="1:9" x14ac:dyDescent="0.25">
      <c r="A132" s="977"/>
      <c r="B132" s="977"/>
      <c r="C132" s="977"/>
      <c r="D132" s="977"/>
      <c r="E132" s="977"/>
      <c r="F132" s="977"/>
      <c r="G132" s="70"/>
      <c r="H132" s="70"/>
      <c r="I132" s="70"/>
    </row>
    <row r="133" spans="1:9" x14ac:dyDescent="0.25">
      <c r="A133" s="986" t="e">
        <f>CONCATENATE(#REF!," - DEPÓSITOS RECURSAIS")</f>
        <v>#REF!</v>
      </c>
      <c r="B133" s="986"/>
      <c r="C133" s="986"/>
      <c r="D133" s="986"/>
      <c r="E133" s="986"/>
      <c r="F133" s="986"/>
      <c r="G133" s="70"/>
      <c r="H133" s="70"/>
      <c r="I133" s="70"/>
    </row>
    <row r="134" spans="1:9" ht="51" customHeight="1" x14ac:dyDescent="0.25">
      <c r="A134" s="966" t="s">
        <v>4528</v>
      </c>
      <c r="B134" s="966"/>
      <c r="C134" s="966"/>
      <c r="D134" s="966"/>
      <c r="E134" s="966"/>
      <c r="F134" s="966"/>
      <c r="G134" s="70"/>
      <c r="H134" s="70"/>
      <c r="I134" s="70"/>
    </row>
    <row r="135" spans="1:9" x14ac:dyDescent="0.25">
      <c r="A135" s="977"/>
      <c r="B135" s="977"/>
      <c r="C135" s="977"/>
      <c r="D135" s="977"/>
      <c r="E135" s="977"/>
      <c r="F135" s="977"/>
      <c r="G135" s="70"/>
      <c r="H135" s="70"/>
      <c r="I135" s="70"/>
    </row>
    <row r="136" spans="1:9" x14ac:dyDescent="0.25">
      <c r="A136" s="499" t="s">
        <v>4526</v>
      </c>
      <c r="B136" s="500"/>
      <c r="C136" s="501" t="str">
        <f>C125</f>
        <v xml:space="preserve"> Março 2025</v>
      </c>
      <c r="D136" s="502"/>
      <c r="E136" s="501" t="str">
        <f>E125</f>
        <v xml:space="preserve"> Dezembro 2024</v>
      </c>
      <c r="F136" s="503"/>
      <c r="G136" s="70"/>
      <c r="H136" s="70"/>
      <c r="I136" s="70"/>
    </row>
    <row r="137" spans="1:9" x14ac:dyDescent="0.25">
      <c r="A137" s="516" t="s">
        <v>6839</v>
      </c>
      <c r="B137" s="372"/>
      <c r="C137" s="366">
        <f>801582.54/1000</f>
        <v>801.58253999999999</v>
      </c>
      <c r="D137" s="369"/>
      <c r="E137" s="366">
        <v>516</v>
      </c>
      <c r="F137" s="505"/>
      <c r="G137" s="70"/>
      <c r="H137" s="70"/>
      <c r="I137" s="70"/>
    </row>
    <row r="138" spans="1:9" x14ac:dyDescent="0.25">
      <c r="A138" s="516" t="s">
        <v>6842</v>
      </c>
      <c r="B138" s="372"/>
      <c r="C138" s="366">
        <f>3491427.86/1000</f>
        <v>3491.4278599999998</v>
      </c>
      <c r="D138" s="369"/>
      <c r="E138" s="366">
        <v>3491</v>
      </c>
      <c r="F138" s="505"/>
      <c r="G138" s="70"/>
      <c r="H138" s="70"/>
      <c r="I138" s="70"/>
    </row>
    <row r="139" spans="1:9" hidden="1" x14ac:dyDescent="0.25">
      <c r="A139" s="516" t="s">
        <v>4504</v>
      </c>
      <c r="B139" s="372"/>
      <c r="C139" s="370">
        <v>0</v>
      </c>
      <c r="D139" s="369"/>
      <c r="E139" s="370">
        <v>0</v>
      </c>
      <c r="F139" s="505"/>
      <c r="G139" s="70"/>
      <c r="H139" s="70"/>
      <c r="I139" s="70"/>
    </row>
    <row r="140" spans="1:9" x14ac:dyDescent="0.25">
      <c r="A140" s="506" t="s">
        <v>4503</v>
      </c>
      <c r="B140" s="507"/>
      <c r="C140" s="562">
        <f>SUM(C137:C139)</f>
        <v>4293.0104000000001</v>
      </c>
      <c r="D140" s="563"/>
      <c r="E140" s="562">
        <f>SUM(E137:E139)</f>
        <v>4007</v>
      </c>
      <c r="F140" s="508"/>
      <c r="G140" s="556" t="e">
        <f>ROUND((#REF!-C140),0)</f>
        <v>#REF!</v>
      </c>
      <c r="H140" s="556" t="e">
        <f>ROUND((#REF!-E140),0)</f>
        <v>#REF!</v>
      </c>
      <c r="I140" s="70"/>
    </row>
    <row r="141" spans="1:9" x14ac:dyDescent="0.25">
      <c r="A141" s="977"/>
      <c r="B141" s="977"/>
      <c r="C141" s="977"/>
      <c r="D141" s="977"/>
      <c r="E141" s="977"/>
      <c r="F141" s="977"/>
      <c r="G141" s="70"/>
      <c r="H141" s="70"/>
      <c r="I141" s="70"/>
    </row>
    <row r="142" spans="1:9" x14ac:dyDescent="0.25">
      <c r="A142" s="986" t="e">
        <f>CONCATENATE(#REF!," - CAUÇÕES")</f>
        <v>#REF!</v>
      </c>
      <c r="B142" s="986"/>
      <c r="C142" s="986"/>
      <c r="D142" s="986"/>
      <c r="E142" s="986"/>
      <c r="F142" s="986"/>
      <c r="G142" s="70"/>
      <c r="H142" s="70"/>
      <c r="I142" s="70"/>
    </row>
    <row r="143" spans="1:9" ht="35.25" customHeight="1" x14ac:dyDescent="0.25">
      <c r="A143" s="966" t="s">
        <v>4529</v>
      </c>
      <c r="B143" s="966"/>
      <c r="C143" s="966"/>
      <c r="D143" s="966"/>
      <c r="E143" s="966"/>
      <c r="F143" s="966"/>
      <c r="G143" s="70"/>
      <c r="H143" s="70"/>
      <c r="I143" s="70"/>
    </row>
    <row r="144" spans="1:9" x14ac:dyDescent="0.25">
      <c r="A144" s="977"/>
      <c r="B144" s="977"/>
      <c r="C144" s="977"/>
      <c r="D144" s="977"/>
      <c r="E144" s="977"/>
      <c r="F144" s="977"/>
      <c r="G144" s="70"/>
      <c r="H144" s="70"/>
      <c r="I144" s="70"/>
    </row>
    <row r="145" spans="1:88" x14ac:dyDescent="0.25">
      <c r="A145" s="499" t="s">
        <v>6840</v>
      </c>
      <c r="B145" s="500"/>
      <c r="C145" s="501" t="str">
        <f>C136</f>
        <v xml:space="preserve"> Março 2025</v>
      </c>
      <c r="D145" s="502"/>
      <c r="E145" s="501" t="str">
        <f>E136</f>
        <v xml:space="preserve"> Dezembro 2024</v>
      </c>
      <c r="F145" s="503"/>
      <c r="G145" s="70"/>
      <c r="H145" s="70"/>
      <c r="I145" s="70"/>
    </row>
    <row r="146" spans="1:88" x14ac:dyDescent="0.25">
      <c r="A146" s="516" t="s">
        <v>4493</v>
      </c>
      <c r="B146" s="372"/>
      <c r="C146" s="366">
        <f>3446774.46/1000</f>
        <v>3446.7744600000001</v>
      </c>
      <c r="D146" s="369"/>
      <c r="E146" s="366">
        <v>3447</v>
      </c>
      <c r="F146" s="505"/>
      <c r="G146" s="70"/>
      <c r="H146" s="70"/>
      <c r="I146" s="70"/>
    </row>
    <row r="147" spans="1:88" x14ac:dyDescent="0.25">
      <c r="A147" s="516" t="s">
        <v>4505</v>
      </c>
      <c r="B147" s="372"/>
      <c r="C147" s="366">
        <f>249808.43/1000</f>
        <v>249.80842999999999</v>
      </c>
      <c r="D147" s="359"/>
      <c r="E147" s="366">
        <v>250</v>
      </c>
      <c r="F147" s="505"/>
      <c r="G147" s="70"/>
      <c r="H147" s="70"/>
      <c r="I147" s="70"/>
    </row>
    <row r="148" spans="1:88" x14ac:dyDescent="0.25">
      <c r="A148" s="506" t="s">
        <v>4503</v>
      </c>
      <c r="B148" s="507"/>
      <c r="C148" s="562">
        <f>SUM(C146:C147)</f>
        <v>3696.5828900000001</v>
      </c>
      <c r="D148" s="563"/>
      <c r="E148" s="562">
        <f>SUM(E146:E147)</f>
        <v>3697</v>
      </c>
      <c r="F148" s="508"/>
      <c r="G148" s="556" t="e">
        <f>ROUND((#REF!-C148),0)</f>
        <v>#REF!</v>
      </c>
      <c r="H148" s="556" t="e">
        <f>ROUND((#REF!-E148),0)</f>
        <v>#REF!</v>
      </c>
      <c r="I148" s="70"/>
    </row>
    <row r="149" spans="1:88" x14ac:dyDescent="0.25">
      <c r="A149" s="977"/>
      <c r="B149" s="977"/>
      <c r="C149" s="977"/>
      <c r="D149" s="977"/>
      <c r="E149" s="977"/>
      <c r="F149" s="977"/>
      <c r="G149" s="70"/>
      <c r="H149" s="70"/>
      <c r="I149" s="70"/>
    </row>
    <row r="150" spans="1:88" x14ac:dyDescent="0.25">
      <c r="A150" s="986" t="e">
        <f>CONCATENATE(#REF!," - IMOBILIZADO")</f>
        <v>#REF!</v>
      </c>
      <c r="B150" s="986"/>
      <c r="C150" s="986"/>
      <c r="D150" s="986"/>
      <c r="E150" s="986"/>
      <c r="F150" s="986"/>
      <c r="G150" s="70"/>
      <c r="H150" s="70"/>
      <c r="I150" s="70"/>
    </row>
    <row r="151" spans="1:88" ht="65.25" customHeight="1" x14ac:dyDescent="0.25">
      <c r="A151" s="966" t="s">
        <v>7023</v>
      </c>
      <c r="B151" s="966"/>
      <c r="C151" s="966"/>
      <c r="D151" s="966"/>
      <c r="E151" s="966"/>
      <c r="F151" s="966"/>
      <c r="G151" s="70"/>
      <c r="H151" s="70"/>
      <c r="I151" s="70"/>
    </row>
    <row r="152" spans="1:88" x14ac:dyDescent="0.25">
      <c r="A152" s="977" t="s">
        <v>7024</v>
      </c>
      <c r="B152" s="977"/>
      <c r="C152" s="977"/>
      <c r="D152" s="977"/>
      <c r="E152" s="977"/>
      <c r="F152" s="977"/>
      <c r="G152" s="70"/>
      <c r="H152" s="70"/>
      <c r="I152" s="70"/>
    </row>
    <row r="153" spans="1:88" x14ac:dyDescent="0.25">
      <c r="A153" s="977"/>
      <c r="B153" s="977"/>
      <c r="C153" s="977"/>
      <c r="D153" s="977"/>
      <c r="E153" s="977"/>
      <c r="F153" s="977"/>
      <c r="G153" s="70"/>
      <c r="H153" s="70"/>
      <c r="I153" s="70"/>
    </row>
    <row r="154" spans="1:88" ht="39.75" customHeight="1" x14ac:dyDescent="0.25">
      <c r="A154" s="70"/>
      <c r="B154" s="70"/>
      <c r="C154" s="70"/>
      <c r="D154" s="70"/>
      <c r="E154" s="70"/>
      <c r="F154" s="70"/>
      <c r="G154" s="70"/>
      <c r="H154" s="70"/>
      <c r="I154" s="70"/>
      <c r="BV154" s="623" t="s">
        <v>4362</v>
      </c>
      <c r="BW154" s="4"/>
      <c r="BX154" s="623" t="s">
        <v>4363</v>
      </c>
      <c r="BY154" s="4"/>
      <c r="BZ154" s="623" t="s">
        <v>4364</v>
      </c>
      <c r="CA154" s="4"/>
      <c r="CB154" s="623" t="s">
        <v>4365</v>
      </c>
      <c r="CC154" s="4"/>
      <c r="CD154" s="623" t="s">
        <v>4366</v>
      </c>
      <c r="CE154" s="4"/>
      <c r="CF154" s="623" t="s">
        <v>4367</v>
      </c>
      <c r="CG154" s="4"/>
      <c r="CH154" s="623" t="s">
        <v>4368</v>
      </c>
      <c r="CI154" s="4"/>
      <c r="CJ154" s="623" t="s">
        <v>4369</v>
      </c>
    </row>
    <row r="155" spans="1:88" x14ac:dyDescent="0.25">
      <c r="A155" s="70"/>
      <c r="B155" s="70"/>
      <c r="C155" s="70"/>
      <c r="D155" s="70"/>
      <c r="E155" s="70"/>
      <c r="F155" s="70"/>
      <c r="G155" s="70"/>
      <c r="H155" s="70"/>
      <c r="I155" s="70"/>
      <c r="BV155" s="8" t="s">
        <v>4370</v>
      </c>
      <c r="BX155" s="9">
        <v>161424.11778</v>
      </c>
      <c r="BZ155" s="9">
        <v>0</v>
      </c>
      <c r="CB155" s="9">
        <v>0</v>
      </c>
      <c r="CD155" s="9">
        <v>0</v>
      </c>
      <c r="CF155" s="9">
        <v>0</v>
      </c>
      <c r="CH155" s="9">
        <v>0</v>
      </c>
      <c r="CJ155" s="9">
        <f t="shared" ref="CJ155:CJ163" si="0">SUM(BX155:CH155)</f>
        <v>161424.11778</v>
      </c>
    </row>
    <row r="156" spans="1:88" x14ac:dyDescent="0.25">
      <c r="A156" s="70"/>
      <c r="B156" s="70"/>
      <c r="C156" s="70"/>
      <c r="D156" s="70"/>
      <c r="E156" s="70"/>
      <c r="F156" s="70"/>
      <c r="G156" s="70"/>
      <c r="H156" s="70"/>
      <c r="I156" s="70"/>
      <c r="BV156" s="8" t="s">
        <v>4371</v>
      </c>
      <c r="BX156" s="9">
        <v>56575.336490000016</v>
      </c>
      <c r="BZ156" s="9">
        <v>0</v>
      </c>
      <c r="CB156" s="9">
        <v>0</v>
      </c>
      <c r="CD156" s="9">
        <v>1432.6644022976291</v>
      </c>
      <c r="CF156" s="9">
        <v>-627.52674000000002</v>
      </c>
      <c r="CH156" s="9">
        <v>0</v>
      </c>
      <c r="CJ156" s="9">
        <f t="shared" si="0"/>
        <v>57380.474152297647</v>
      </c>
    </row>
    <row r="157" spans="1:88" x14ac:dyDescent="0.25">
      <c r="A157" s="70"/>
      <c r="B157" s="70"/>
      <c r="C157" s="70"/>
      <c r="D157" s="70"/>
      <c r="E157" s="70"/>
      <c r="F157" s="70"/>
      <c r="G157" s="70"/>
      <c r="H157" s="70"/>
      <c r="I157" s="70"/>
      <c r="BV157" s="8" t="s">
        <v>4360</v>
      </c>
      <c r="BX157" s="9">
        <v>33735.237590000004</v>
      </c>
      <c r="BZ157" s="9">
        <v>0</v>
      </c>
      <c r="CB157" s="9">
        <v>0</v>
      </c>
      <c r="CD157" s="9">
        <v>0</v>
      </c>
      <c r="CF157" s="9">
        <v>-125.01758</v>
      </c>
      <c r="CH157" s="9">
        <v>0</v>
      </c>
      <c r="CJ157" s="9">
        <f t="shared" si="0"/>
        <v>33610.220010000005</v>
      </c>
    </row>
    <row r="158" spans="1:88" x14ac:dyDescent="0.25">
      <c r="A158" s="70"/>
      <c r="B158" s="70"/>
      <c r="C158" s="70"/>
      <c r="D158" s="70"/>
      <c r="E158" s="70"/>
      <c r="F158" s="70"/>
      <c r="G158" s="70"/>
      <c r="H158" s="70"/>
      <c r="I158" s="70"/>
      <c r="BV158" s="8" t="s">
        <v>4372</v>
      </c>
      <c r="BX158" s="9">
        <v>8504.5800200000012</v>
      </c>
      <c r="BZ158" s="9">
        <v>0</v>
      </c>
      <c r="CB158" s="9">
        <v>0</v>
      </c>
      <c r="CD158" s="9">
        <v>0</v>
      </c>
      <c r="CF158" s="9">
        <v>-169.81800000000001</v>
      </c>
      <c r="CH158" s="9">
        <v>0</v>
      </c>
      <c r="CJ158" s="9">
        <f t="shared" si="0"/>
        <v>8334.7620200000019</v>
      </c>
    </row>
    <row r="159" spans="1:88" x14ac:dyDescent="0.25">
      <c r="A159" s="70"/>
      <c r="B159" s="70"/>
      <c r="C159" s="70"/>
      <c r="D159" s="70"/>
      <c r="E159" s="70"/>
      <c r="F159" s="70"/>
      <c r="G159" s="70"/>
      <c r="H159" s="70"/>
      <c r="I159" s="70"/>
      <c r="BV159" s="8" t="s">
        <v>4359</v>
      </c>
      <c r="BX159" s="9">
        <v>15859.139579999999</v>
      </c>
      <c r="BZ159" s="9">
        <v>0</v>
      </c>
      <c r="CB159" s="9">
        <v>0</v>
      </c>
      <c r="CD159" s="9">
        <v>0</v>
      </c>
      <c r="CF159" s="9">
        <v>-166.35012</v>
      </c>
      <c r="CH159" s="9">
        <v>0</v>
      </c>
      <c r="CJ159" s="9">
        <f t="shared" si="0"/>
        <v>15692.78946</v>
      </c>
    </row>
    <row r="160" spans="1:88" x14ac:dyDescent="0.25">
      <c r="A160" s="70"/>
      <c r="B160" s="70"/>
      <c r="C160" s="70"/>
      <c r="D160" s="70"/>
      <c r="E160" s="70"/>
      <c r="F160" s="70"/>
      <c r="G160" s="70"/>
      <c r="H160" s="70"/>
      <c r="I160" s="70"/>
      <c r="BV160" s="8" t="s">
        <v>4374</v>
      </c>
      <c r="BX160" s="9">
        <v>9841.6745500000015</v>
      </c>
      <c r="BZ160" s="9">
        <v>0</v>
      </c>
      <c r="CB160" s="9">
        <v>0</v>
      </c>
      <c r="CD160" s="9">
        <v>0</v>
      </c>
      <c r="CF160" s="9">
        <v>0</v>
      </c>
      <c r="CH160" s="9">
        <v>0</v>
      </c>
      <c r="CJ160" s="9">
        <f t="shared" si="0"/>
        <v>9841.6745500000015</v>
      </c>
    </row>
    <row r="161" spans="1:90" x14ac:dyDescent="0.25">
      <c r="A161" s="70"/>
      <c r="B161" s="70"/>
      <c r="C161" s="70"/>
      <c r="D161" s="70"/>
      <c r="E161" s="70"/>
      <c r="F161" s="70"/>
      <c r="G161" s="70"/>
      <c r="H161" s="70"/>
      <c r="I161" s="70"/>
      <c r="BV161" s="8" t="s">
        <v>4373</v>
      </c>
      <c r="BX161" s="9">
        <v>4664.6727699999983</v>
      </c>
      <c r="BZ161" s="9">
        <v>0</v>
      </c>
      <c r="CB161" s="9">
        <v>0</v>
      </c>
      <c r="CD161" s="9">
        <v>0</v>
      </c>
      <c r="CF161" s="9">
        <v>-271.39378999999997</v>
      </c>
      <c r="CH161" s="9">
        <v>0</v>
      </c>
      <c r="CJ161" s="9">
        <f t="shared" si="0"/>
        <v>4393.2789799999982</v>
      </c>
    </row>
    <row r="162" spans="1:90" x14ac:dyDescent="0.25">
      <c r="A162" s="70"/>
      <c r="B162" s="70"/>
      <c r="C162" s="70"/>
      <c r="D162" s="70"/>
      <c r="E162" s="70"/>
      <c r="F162" s="70"/>
      <c r="G162" s="70"/>
      <c r="H162" s="70"/>
      <c r="I162" s="70"/>
      <c r="BV162" s="8" t="s">
        <v>4375</v>
      </c>
      <c r="BX162" s="9">
        <v>3614.8722300000004</v>
      </c>
      <c r="BZ162" s="9">
        <v>0</v>
      </c>
      <c r="CB162" s="9">
        <v>0</v>
      </c>
      <c r="CD162" s="9">
        <v>0</v>
      </c>
      <c r="CF162" s="9">
        <v>-87.597889999999992</v>
      </c>
      <c r="CH162" s="9">
        <v>0</v>
      </c>
      <c r="CJ162" s="9">
        <f t="shared" si="0"/>
        <v>3527.2743400000004</v>
      </c>
    </row>
    <row r="163" spans="1:90" x14ac:dyDescent="0.25">
      <c r="A163" s="70"/>
      <c r="B163" s="70"/>
      <c r="C163" s="70"/>
      <c r="D163" s="70"/>
      <c r="E163" s="70"/>
      <c r="F163" s="70"/>
      <c r="G163" s="70"/>
      <c r="H163" s="70"/>
      <c r="I163" s="70"/>
      <c r="BV163" s="8" t="s">
        <v>4376</v>
      </c>
      <c r="BX163" s="9">
        <v>6.2044000000000237</v>
      </c>
      <c r="BZ163" s="9">
        <v>0</v>
      </c>
      <c r="CB163" s="9">
        <v>0</v>
      </c>
      <c r="CD163" s="9">
        <v>0</v>
      </c>
      <c r="CF163" s="9">
        <v>-3.3000000000000002E-2</v>
      </c>
      <c r="CH163" s="9">
        <v>0</v>
      </c>
      <c r="CJ163" s="9">
        <f t="shared" si="0"/>
        <v>6.1714000000000233</v>
      </c>
      <c r="CL163" s="622">
        <f>CJ164-SUM(BX164:CH164)</f>
        <v>0</v>
      </c>
    </row>
    <row r="164" spans="1:90" x14ac:dyDescent="0.25">
      <c r="A164" s="70"/>
      <c r="B164" s="70"/>
      <c r="C164" s="70"/>
      <c r="D164" s="70"/>
      <c r="E164" s="70"/>
      <c r="F164" s="70"/>
      <c r="G164" s="70"/>
      <c r="H164" s="70"/>
      <c r="I164" s="70"/>
      <c r="BV164" s="624" t="s">
        <v>4503</v>
      </c>
      <c r="BW164" s="625"/>
      <c r="BX164" s="626">
        <f>SUM(BX155:BX163)</f>
        <v>294225.83541</v>
      </c>
      <c r="BY164" s="625"/>
      <c r="BZ164" s="626">
        <f>SUM(BZ155:BZ163)</f>
        <v>0</v>
      </c>
      <c r="CA164" s="625"/>
      <c r="CB164" s="626">
        <f>SUM(CB155:CB163)</f>
        <v>0</v>
      </c>
      <c r="CC164" s="625"/>
      <c r="CD164" s="626">
        <f>SUM(CD155:CD163)</f>
        <v>1432.6644022976291</v>
      </c>
      <c r="CE164" s="625"/>
      <c r="CF164" s="626">
        <f>SUM(CF155:CF163)</f>
        <v>-1447.7371199999998</v>
      </c>
      <c r="CG164" s="625"/>
      <c r="CH164" s="626">
        <v>0</v>
      </c>
      <c r="CI164" s="625"/>
      <c r="CJ164" s="626">
        <f>SUM(CJ155:CJ163)</f>
        <v>294210.76269229763</v>
      </c>
      <c r="CL164" s="622" t="e">
        <f>ROUND((CJ164-#REF!),0)</f>
        <v>#REF!</v>
      </c>
    </row>
    <row r="165" spans="1:90" ht="26.25" customHeight="1" x14ac:dyDescent="0.25">
      <c r="A165" s="70"/>
      <c r="B165" s="70"/>
      <c r="C165" s="70"/>
      <c r="D165" s="70"/>
      <c r="E165" s="70"/>
      <c r="F165" s="70"/>
      <c r="G165" s="70"/>
      <c r="H165" s="70"/>
      <c r="I165" s="70"/>
    </row>
    <row r="166" spans="1:90" x14ac:dyDescent="0.25">
      <c r="A166" s="70"/>
      <c r="B166" s="70"/>
      <c r="C166" s="70"/>
      <c r="D166" s="70"/>
      <c r="E166" s="70"/>
      <c r="F166" s="70"/>
      <c r="G166" s="70"/>
      <c r="H166" s="70"/>
      <c r="I166" s="70"/>
    </row>
    <row r="167" spans="1:90" x14ac:dyDescent="0.25">
      <c r="A167" s="72"/>
      <c r="B167" s="72"/>
      <c r="C167" s="72"/>
      <c r="D167" s="72"/>
      <c r="E167" s="72"/>
      <c r="F167" s="72"/>
      <c r="G167" s="72"/>
      <c r="H167" s="72"/>
      <c r="I167" s="72"/>
    </row>
    <row r="168" spans="1:90" x14ac:dyDescent="0.25">
      <c r="A168" s="977"/>
      <c r="B168" s="977"/>
      <c r="C168" s="977"/>
      <c r="D168" s="977"/>
      <c r="E168" s="977"/>
      <c r="F168" s="977"/>
      <c r="G168" s="70"/>
      <c r="H168" s="70"/>
      <c r="I168" s="70"/>
    </row>
    <row r="169" spans="1:90" x14ac:dyDescent="0.25">
      <c r="A169" s="986" t="e">
        <f>CONCATENATE(#REF!,".1 - INSTALAÇÕES NUCLEP")</f>
        <v>#REF!</v>
      </c>
      <c r="B169" s="986"/>
      <c r="C169" s="986"/>
      <c r="D169" s="986"/>
      <c r="E169" s="986"/>
      <c r="F169" s="986"/>
      <c r="G169" s="70"/>
      <c r="H169" s="70"/>
      <c r="I169" s="70"/>
    </row>
    <row r="170" spans="1:90" ht="160.5" customHeight="1" x14ac:dyDescent="0.25">
      <c r="A170" s="966" t="s">
        <v>7018</v>
      </c>
      <c r="B170" s="966"/>
      <c r="C170" s="966"/>
      <c r="D170" s="966"/>
      <c r="E170" s="966"/>
      <c r="F170" s="966"/>
      <c r="G170" s="70"/>
      <c r="H170" s="70"/>
      <c r="I170" s="70"/>
    </row>
    <row r="171" spans="1:90" x14ac:dyDescent="0.25">
      <c r="A171" s="977"/>
      <c r="B171" s="977"/>
      <c r="C171" s="977"/>
      <c r="D171" s="977"/>
      <c r="E171" s="977"/>
      <c r="F171" s="977"/>
      <c r="G171" s="70"/>
      <c r="H171" s="70"/>
      <c r="I171" s="70"/>
    </row>
    <row r="172" spans="1:90" ht="66" customHeight="1" x14ac:dyDescent="0.25">
      <c r="A172" s="966" t="s">
        <v>7025</v>
      </c>
      <c r="B172" s="966"/>
      <c r="C172" s="966"/>
      <c r="D172" s="966"/>
      <c r="E172" s="966"/>
      <c r="F172" s="966"/>
      <c r="G172" s="70"/>
      <c r="H172" s="70"/>
      <c r="I172" s="70"/>
    </row>
    <row r="173" spans="1:90" x14ac:dyDescent="0.25">
      <c r="A173" s="977"/>
      <c r="B173" s="977"/>
      <c r="C173" s="977"/>
      <c r="D173" s="977"/>
      <c r="E173" s="977"/>
      <c r="F173" s="977"/>
      <c r="G173" s="70"/>
      <c r="H173" s="70"/>
      <c r="I173" s="70"/>
    </row>
    <row r="174" spans="1:90" ht="79.5" customHeight="1" x14ac:dyDescent="0.25">
      <c r="A174" s="966" t="s">
        <v>7026</v>
      </c>
      <c r="B174" s="966"/>
      <c r="C174" s="966"/>
      <c r="D174" s="966"/>
      <c r="E174" s="966"/>
      <c r="F174" s="966"/>
      <c r="G174" s="70"/>
      <c r="H174" s="70"/>
      <c r="I174" s="70"/>
    </row>
    <row r="175" spans="1:90" x14ac:dyDescent="0.25">
      <c r="A175" s="977"/>
      <c r="B175" s="977"/>
      <c r="C175" s="977"/>
      <c r="D175" s="977"/>
      <c r="E175" s="977"/>
      <c r="F175" s="977"/>
      <c r="G175" s="70"/>
      <c r="H175" s="70"/>
      <c r="I175" s="70"/>
    </row>
    <row r="176" spans="1:90" ht="84.75" customHeight="1" x14ac:dyDescent="0.25">
      <c r="A176" s="966" t="s">
        <v>7027</v>
      </c>
      <c r="B176" s="966"/>
      <c r="C176" s="966"/>
      <c r="D176" s="966"/>
      <c r="E176" s="966"/>
      <c r="F176" s="966"/>
      <c r="G176" s="70"/>
      <c r="H176" s="70"/>
      <c r="I176" s="70"/>
    </row>
    <row r="177" spans="1:9" x14ac:dyDescent="0.25">
      <c r="A177" s="977"/>
      <c r="B177" s="977"/>
      <c r="C177" s="977"/>
      <c r="D177" s="977"/>
      <c r="E177" s="977"/>
      <c r="F177" s="977"/>
      <c r="G177" s="70"/>
      <c r="H177" s="70"/>
      <c r="I177" s="70"/>
    </row>
    <row r="178" spans="1:9" ht="81" customHeight="1" x14ac:dyDescent="0.25">
      <c r="A178" s="966" t="s">
        <v>7017</v>
      </c>
      <c r="B178" s="966"/>
      <c r="C178" s="966"/>
      <c r="D178" s="966"/>
      <c r="E178" s="966"/>
      <c r="F178" s="966"/>
      <c r="G178" s="70"/>
      <c r="H178" s="70"/>
      <c r="I178" s="70"/>
    </row>
    <row r="179" spans="1:9" x14ac:dyDescent="0.25">
      <c r="A179" s="977"/>
      <c r="B179" s="977"/>
      <c r="C179" s="977"/>
      <c r="D179" s="977"/>
      <c r="E179" s="977"/>
      <c r="F179" s="977"/>
      <c r="G179" s="70"/>
      <c r="H179" s="70"/>
      <c r="I179" s="70"/>
    </row>
    <row r="180" spans="1:9" x14ac:dyDescent="0.25">
      <c r="A180" s="986" t="e">
        <f>CONCATENATE(#REF!," - INTANGÍVEL")</f>
        <v>#REF!</v>
      </c>
      <c r="B180" s="986"/>
      <c r="C180" s="986"/>
      <c r="D180" s="986"/>
      <c r="E180" s="986"/>
      <c r="F180" s="986"/>
      <c r="G180" s="70"/>
      <c r="H180" s="70"/>
      <c r="I180" s="70"/>
    </row>
    <row r="181" spans="1:9" ht="98.25" customHeight="1" x14ac:dyDescent="0.25">
      <c r="A181" s="966" t="s">
        <v>7028</v>
      </c>
      <c r="B181" s="966"/>
      <c r="C181" s="966"/>
      <c r="D181" s="966"/>
      <c r="E181" s="966"/>
      <c r="F181" s="966"/>
      <c r="G181" s="70"/>
      <c r="H181" s="70"/>
      <c r="I181" s="70"/>
    </row>
    <row r="182" spans="1:9" x14ac:dyDescent="0.25">
      <c r="A182" s="977"/>
      <c r="B182" s="977"/>
      <c r="C182" s="977"/>
      <c r="D182" s="977"/>
      <c r="E182" s="977"/>
      <c r="F182" s="977"/>
      <c r="G182" s="70"/>
      <c r="H182" s="70"/>
      <c r="I182" s="70"/>
    </row>
    <row r="183" spans="1:9" x14ac:dyDescent="0.25">
      <c r="A183" s="511" t="s">
        <v>4377</v>
      </c>
      <c r="B183" s="517"/>
      <c r="C183" s="365" t="str">
        <f>C145</f>
        <v xml:space="preserve"> Março 2025</v>
      </c>
      <c r="D183" s="518"/>
      <c r="E183" s="365" t="str">
        <f>E145</f>
        <v xml:space="preserve"> Dezembro 2024</v>
      </c>
      <c r="F183" s="503"/>
      <c r="G183" s="70"/>
      <c r="H183" s="70"/>
      <c r="I183" s="70"/>
    </row>
    <row r="184" spans="1:9" x14ac:dyDescent="0.25">
      <c r="A184" s="516" t="s">
        <v>6844</v>
      </c>
      <c r="B184" s="372"/>
      <c r="C184" s="366">
        <f>1342</f>
        <v>1342</v>
      </c>
      <c r="D184" s="369"/>
      <c r="E184" s="366">
        <v>1342</v>
      </c>
      <c r="F184" s="505"/>
      <c r="H184" s="70"/>
      <c r="I184" s="485" t="s">
        <v>5314</v>
      </c>
    </row>
    <row r="185" spans="1:9" x14ac:dyDescent="0.25">
      <c r="A185" s="516" t="s">
        <v>6845</v>
      </c>
      <c r="B185" s="372"/>
      <c r="C185" s="366">
        <f>308</f>
        <v>308</v>
      </c>
      <c r="D185" s="369"/>
      <c r="E185" s="366">
        <v>308</v>
      </c>
      <c r="F185" s="505"/>
      <c r="G185" s="70"/>
      <c r="H185" s="70"/>
      <c r="I185" s="485" t="s">
        <v>413</v>
      </c>
    </row>
    <row r="186" spans="1:9" x14ac:dyDescent="0.25">
      <c r="A186" s="516" t="s">
        <v>6846</v>
      </c>
      <c r="B186" s="372"/>
      <c r="C186" s="93">
        <v>-198</v>
      </c>
      <c r="D186" s="369"/>
      <c r="E186" s="93">
        <v>-191</v>
      </c>
      <c r="F186" s="505"/>
      <c r="G186" s="70"/>
      <c r="H186" s="70"/>
      <c r="I186" s="485" t="s">
        <v>5315</v>
      </c>
    </row>
    <row r="187" spans="1:9" x14ac:dyDescent="0.25">
      <c r="A187" s="511" t="s">
        <v>4503</v>
      </c>
      <c r="B187" s="519"/>
      <c r="C187" s="562">
        <f>SUM(C184:C186)</f>
        <v>1452</v>
      </c>
      <c r="D187" s="563"/>
      <c r="E187" s="562">
        <f>SUM(E184:E186)</f>
        <v>1459</v>
      </c>
      <c r="F187" s="508"/>
      <c r="G187" s="556" t="e">
        <f>ROUND((#REF!-C187),0)</f>
        <v>#REF!</v>
      </c>
      <c r="H187" s="556" t="e">
        <f>ROUND((#REF!-E187),0)</f>
        <v>#REF!</v>
      </c>
      <c r="I187" s="70"/>
    </row>
    <row r="188" spans="1:9" x14ac:dyDescent="0.25">
      <c r="A188" s="977"/>
      <c r="B188" s="977"/>
      <c r="C188" s="977"/>
      <c r="D188" s="977"/>
      <c r="E188" s="977"/>
      <c r="F188" s="977"/>
      <c r="G188" s="70"/>
      <c r="H188" s="70"/>
      <c r="I188" s="70"/>
    </row>
    <row r="189" spans="1:9" x14ac:dyDescent="0.25">
      <c r="A189" s="986" t="e">
        <f>CONCATENATE(#REF!," - SUBVENÇÕES PARA INVESTIMENTOS")</f>
        <v>#REF!</v>
      </c>
      <c r="B189" s="986"/>
      <c r="C189" s="986"/>
      <c r="D189" s="986"/>
      <c r="E189" s="986"/>
      <c r="F189" s="986"/>
      <c r="G189" s="70"/>
      <c r="H189" s="70"/>
      <c r="I189" s="70"/>
    </row>
    <row r="190" spans="1:9" ht="66" customHeight="1" x14ac:dyDescent="0.25">
      <c r="A190" s="966" t="s">
        <v>6847</v>
      </c>
      <c r="B190" s="966"/>
      <c r="C190" s="966"/>
      <c r="D190" s="966"/>
      <c r="E190" s="966"/>
      <c r="F190" s="966"/>
      <c r="G190" s="70"/>
      <c r="H190" s="70"/>
      <c r="I190" s="70"/>
    </row>
    <row r="191" spans="1:9" x14ac:dyDescent="0.25">
      <c r="A191" s="977"/>
      <c r="B191" s="977"/>
      <c r="C191" s="977"/>
      <c r="D191" s="977"/>
      <c r="E191" s="977"/>
      <c r="F191" s="977"/>
      <c r="G191" s="70"/>
      <c r="H191" s="70"/>
      <c r="I191" s="70"/>
    </row>
    <row r="192" spans="1:9" x14ac:dyDescent="0.25">
      <c r="A192" s="511" t="s">
        <v>6848</v>
      </c>
      <c r="B192" s="517"/>
      <c r="C192" s="365" t="str">
        <f>C183</f>
        <v xml:space="preserve"> Março 2025</v>
      </c>
      <c r="D192" s="518"/>
      <c r="E192" s="365" t="str">
        <f>E183</f>
        <v xml:space="preserve"> Dezembro 2024</v>
      </c>
      <c r="F192" s="503"/>
      <c r="G192" s="70"/>
      <c r="H192" s="70"/>
      <c r="I192" s="70"/>
    </row>
    <row r="193" spans="1:14" x14ac:dyDescent="0.25">
      <c r="A193" s="516" t="s">
        <v>6849</v>
      </c>
      <c r="B193" s="372"/>
      <c r="C193" s="366">
        <v>26860</v>
      </c>
      <c r="D193" s="369"/>
      <c r="E193" s="366">
        <v>28631</v>
      </c>
      <c r="F193" s="505"/>
      <c r="G193" s="70"/>
      <c r="H193" s="70"/>
      <c r="I193" s="70"/>
    </row>
    <row r="194" spans="1:14" x14ac:dyDescent="0.25">
      <c r="A194" s="516" t="s">
        <v>6850</v>
      </c>
      <c r="B194" s="372"/>
      <c r="C194" s="669">
        <v>0</v>
      </c>
      <c r="D194" s="369"/>
      <c r="E194" s="366">
        <v>2795</v>
      </c>
      <c r="F194" s="505"/>
      <c r="G194" s="70"/>
      <c r="H194" s="70"/>
      <c r="I194" s="70"/>
    </row>
    <row r="195" spans="1:14" x14ac:dyDescent="0.25">
      <c r="A195" s="516" t="s">
        <v>6851</v>
      </c>
      <c r="B195" s="372"/>
      <c r="C195" s="93">
        <v>-1123</v>
      </c>
      <c r="D195" s="369"/>
      <c r="E195" s="93">
        <v>-4566</v>
      </c>
      <c r="F195" s="505"/>
      <c r="G195" s="70"/>
      <c r="H195" s="70"/>
      <c r="I195" s="70"/>
    </row>
    <row r="196" spans="1:14" x14ac:dyDescent="0.25">
      <c r="A196" s="511" t="s">
        <v>6852</v>
      </c>
      <c r="B196" s="519"/>
      <c r="C196" s="562">
        <f>SUM(C193:C195)</f>
        <v>25737</v>
      </c>
      <c r="D196" s="563"/>
      <c r="E196" s="562">
        <f>SUM(E193:E195)</f>
        <v>26860</v>
      </c>
      <c r="F196" s="508"/>
      <c r="G196" s="556" t="e">
        <f>ROUND((#REF!+C196),0)</f>
        <v>#REF!</v>
      </c>
      <c r="H196" s="556" t="e">
        <f>ROUND((#REF!+E196),0)</f>
        <v>#REF!</v>
      </c>
      <c r="I196" s="70"/>
    </row>
    <row r="197" spans="1:14" x14ac:dyDescent="0.25">
      <c r="A197" s="977"/>
      <c r="B197" s="977"/>
      <c r="C197" s="977"/>
      <c r="D197" s="977"/>
      <c r="E197" s="977"/>
      <c r="F197" s="977"/>
      <c r="G197" s="70"/>
      <c r="H197" s="70"/>
      <c r="I197" s="70"/>
    </row>
    <row r="198" spans="1:14" x14ac:dyDescent="0.25">
      <c r="A198" s="986" t="e">
        <f>CONCATENATE(#REF!," - FORNECEDORES")</f>
        <v>#REF!</v>
      </c>
      <c r="B198" s="986"/>
      <c r="C198" s="986"/>
      <c r="D198" s="986"/>
      <c r="E198" s="986"/>
      <c r="F198" s="986"/>
      <c r="G198" s="70"/>
      <c r="H198" s="70"/>
      <c r="I198" s="70"/>
    </row>
    <row r="199" spans="1:14" ht="83.25" customHeight="1" x14ac:dyDescent="0.25">
      <c r="A199" s="966" t="s">
        <v>6853</v>
      </c>
      <c r="B199" s="966"/>
      <c r="C199" s="966"/>
      <c r="D199" s="966"/>
      <c r="E199" s="966"/>
      <c r="F199" s="966"/>
      <c r="G199" s="70"/>
      <c r="H199" s="70"/>
      <c r="I199" s="70"/>
    </row>
    <row r="200" spans="1:14" x14ac:dyDescent="0.25">
      <c r="A200" s="977"/>
      <c r="B200" s="977"/>
      <c r="C200" s="977"/>
      <c r="D200" s="977"/>
      <c r="E200" s="977"/>
      <c r="F200" s="977"/>
      <c r="G200" s="70"/>
      <c r="H200" s="70"/>
      <c r="I200" s="70"/>
    </row>
    <row r="201" spans="1:14" x14ac:dyDescent="0.25">
      <c r="A201" s="499" t="s">
        <v>4506</v>
      </c>
      <c r="B201" s="500"/>
      <c r="C201" s="501" t="str">
        <f>C192</f>
        <v xml:space="preserve"> Março 2025</v>
      </c>
      <c r="D201" s="502"/>
      <c r="E201" s="501" t="str">
        <f>E192</f>
        <v xml:space="preserve"> Dezembro 2024</v>
      </c>
      <c r="F201" s="503"/>
      <c r="G201" s="70"/>
      <c r="H201" s="70"/>
      <c r="I201" s="70"/>
    </row>
    <row r="202" spans="1:14" x14ac:dyDescent="0.25">
      <c r="A202" s="516" t="s">
        <v>6854</v>
      </c>
      <c r="B202" s="372"/>
      <c r="C202" s="366">
        <f>32899520.62/1000</f>
        <v>32899.520620000003</v>
      </c>
      <c r="D202" s="369"/>
      <c r="E202" s="366">
        <v>23643</v>
      </c>
      <c r="F202" s="505"/>
      <c r="G202" s="70"/>
      <c r="H202" s="70"/>
      <c r="I202" s="70"/>
    </row>
    <row r="203" spans="1:14" hidden="1" x14ac:dyDescent="0.25">
      <c r="A203" s="516" t="s">
        <v>6855</v>
      </c>
      <c r="B203" s="372"/>
      <c r="C203" s="370"/>
      <c r="D203" s="369" t="s">
        <v>4507</v>
      </c>
      <c r="E203" s="370">
        <v>0</v>
      </c>
      <c r="F203" s="505"/>
      <c r="G203" s="70"/>
      <c r="H203" s="70"/>
      <c r="I203" s="70"/>
    </row>
    <row r="204" spans="1:14" x14ac:dyDescent="0.25">
      <c r="A204" s="506" t="s">
        <v>4503</v>
      </c>
      <c r="B204" s="507"/>
      <c r="C204" s="562">
        <f>SUM(C202:C203)</f>
        <v>32899.520620000003</v>
      </c>
      <c r="D204" s="563"/>
      <c r="E204" s="562">
        <f>SUM(E202:E203)</f>
        <v>23643</v>
      </c>
      <c r="F204" s="508"/>
      <c r="G204" s="556" t="e">
        <f>ROUND((#REF!-C204),0)</f>
        <v>#REF!</v>
      </c>
      <c r="H204" s="556" t="e">
        <f>ROUND((#REF!-E204),0)</f>
        <v>#REF!</v>
      </c>
      <c r="I204" s="70"/>
    </row>
    <row r="205" spans="1:14" x14ac:dyDescent="0.25">
      <c r="A205" s="977"/>
      <c r="B205" s="977"/>
      <c r="C205" s="977"/>
      <c r="D205" s="977"/>
      <c r="E205" s="977"/>
      <c r="F205" s="977"/>
      <c r="H205" s="70"/>
      <c r="I205" s="479"/>
    </row>
    <row r="206" spans="1:14" ht="117" customHeight="1" x14ac:dyDescent="0.25">
      <c r="A206" s="987" t="s">
        <v>7099</v>
      </c>
      <c r="B206" s="987"/>
      <c r="C206" s="987"/>
      <c r="D206" s="987"/>
      <c r="E206" s="987"/>
      <c r="F206" s="987"/>
      <c r="G206" s="70"/>
      <c r="H206" s="70"/>
      <c r="I206" s="982"/>
      <c r="J206" s="982"/>
      <c r="K206" s="982"/>
      <c r="L206" s="982"/>
      <c r="M206" s="982"/>
      <c r="N206" s="982"/>
    </row>
    <row r="207" spans="1:14" x14ac:dyDescent="0.25">
      <c r="A207" s="977"/>
      <c r="B207" s="977"/>
      <c r="C207" s="977"/>
      <c r="D207" s="977"/>
      <c r="E207" s="977"/>
      <c r="F207" s="977"/>
      <c r="G207" s="70"/>
      <c r="H207" s="70"/>
      <c r="I207" s="70"/>
    </row>
    <row r="208" spans="1:14" x14ac:dyDescent="0.25">
      <c r="A208" s="986" t="e">
        <f xml:space="preserve"> CONCATENATE(#REF!," - OBRIGAÇÕES TRABALHISTAS E SOCIAIS")</f>
        <v>#REF!</v>
      </c>
      <c r="B208" s="986"/>
      <c r="C208" s="986"/>
      <c r="D208" s="986"/>
      <c r="E208" s="986"/>
      <c r="F208" s="986"/>
      <c r="G208" s="70"/>
      <c r="H208" s="70"/>
      <c r="I208" s="70"/>
    </row>
    <row r="209" spans="1:9" ht="35.25" customHeight="1" x14ac:dyDescent="0.25">
      <c r="A209" s="966" t="s">
        <v>7121</v>
      </c>
      <c r="B209" s="966"/>
      <c r="C209" s="966"/>
      <c r="D209" s="966"/>
      <c r="E209" s="966"/>
      <c r="F209" s="966"/>
      <c r="G209" s="70"/>
      <c r="H209" s="70"/>
      <c r="I209" s="70"/>
    </row>
    <row r="210" spans="1:9" x14ac:dyDescent="0.25">
      <c r="A210" s="977"/>
      <c r="B210" s="977"/>
      <c r="C210" s="977"/>
      <c r="D210" s="977"/>
      <c r="E210" s="977"/>
      <c r="F210" s="977"/>
      <c r="G210" s="70"/>
      <c r="H210" s="70"/>
      <c r="I210" s="70"/>
    </row>
    <row r="211" spans="1:9" x14ac:dyDescent="0.25">
      <c r="A211" s="499" t="s">
        <v>6856</v>
      </c>
      <c r="B211" s="521"/>
      <c r="C211" s="501" t="str">
        <f>C201</f>
        <v xml:space="preserve"> Março 2025</v>
      </c>
      <c r="D211" s="502"/>
      <c r="E211" s="501" t="str">
        <f>E201</f>
        <v xml:space="preserve"> Dezembro 2024</v>
      </c>
      <c r="F211" s="503"/>
      <c r="G211" s="70"/>
      <c r="H211" s="70"/>
      <c r="I211" s="70"/>
    </row>
    <row r="212" spans="1:9" x14ac:dyDescent="0.25">
      <c r="A212" s="516" t="s">
        <v>6859</v>
      </c>
      <c r="B212" s="522"/>
      <c r="C212" s="564">
        <v>15125</v>
      </c>
      <c r="D212" s="369"/>
      <c r="E212" s="492">
        <f>14736.5225267279-187</f>
        <v>14549.5225267279</v>
      </c>
      <c r="F212" s="505"/>
      <c r="G212" s="70"/>
      <c r="H212" s="70"/>
      <c r="I212" s="70"/>
    </row>
    <row r="213" spans="1:9" x14ac:dyDescent="0.25">
      <c r="A213" s="516" t="s">
        <v>6860</v>
      </c>
      <c r="B213" s="522"/>
      <c r="C213" s="564">
        <v>279</v>
      </c>
      <c r="D213" s="369"/>
      <c r="E213" s="492">
        <v>1562.5367414546001</v>
      </c>
      <c r="F213" s="505"/>
      <c r="G213" s="70"/>
      <c r="H213" s="70"/>
      <c r="I213" s="70"/>
    </row>
    <row r="214" spans="1:9" x14ac:dyDescent="0.25">
      <c r="A214" s="516" t="s">
        <v>6861</v>
      </c>
      <c r="B214" s="522"/>
      <c r="C214" s="564">
        <v>734</v>
      </c>
      <c r="D214" s="369"/>
      <c r="E214" s="492">
        <v>12730.050112934798</v>
      </c>
      <c r="F214" s="505"/>
      <c r="G214" s="70"/>
      <c r="H214" s="70"/>
      <c r="I214" s="70"/>
    </row>
    <row r="215" spans="1:9" x14ac:dyDescent="0.25">
      <c r="A215" s="515" t="s">
        <v>6857</v>
      </c>
      <c r="B215" s="522"/>
      <c r="C215" s="493">
        <f>C212+C213+C214</f>
        <v>16138</v>
      </c>
      <c r="D215" s="71"/>
      <c r="E215" s="494">
        <f>SUM(E212:E214)</f>
        <v>28842.109381117298</v>
      </c>
      <c r="F215" s="505"/>
      <c r="G215" s="70"/>
      <c r="H215" s="70"/>
      <c r="I215" s="70"/>
    </row>
    <row r="216" spans="1:9" x14ac:dyDescent="0.25">
      <c r="A216" s="523"/>
      <c r="B216" s="524"/>
      <c r="C216" s="407"/>
      <c r="D216" s="407"/>
      <c r="E216" s="407"/>
      <c r="F216" s="505"/>
      <c r="G216" s="70"/>
      <c r="H216" s="70"/>
      <c r="I216" s="70"/>
    </row>
    <row r="217" spans="1:9" x14ac:dyDescent="0.25">
      <c r="A217" s="525" t="s">
        <v>6858</v>
      </c>
      <c r="B217" s="522"/>
      <c r="C217" s="495" t="str">
        <f>C211</f>
        <v xml:space="preserve"> Março 2025</v>
      </c>
      <c r="D217" s="496"/>
      <c r="E217" s="495" t="str">
        <f>E211</f>
        <v xml:space="preserve"> Dezembro 2024</v>
      </c>
      <c r="F217" s="505"/>
      <c r="G217" s="70"/>
      <c r="H217" s="70"/>
      <c r="I217" s="70"/>
    </row>
    <row r="218" spans="1:9" x14ac:dyDescent="0.25">
      <c r="A218" s="523" t="s">
        <v>6862</v>
      </c>
      <c r="B218" s="524"/>
      <c r="C218" s="407">
        <v>27523</v>
      </c>
      <c r="D218" s="407"/>
      <c r="E218" s="407">
        <v>28427.459719921699</v>
      </c>
      <c r="F218" s="505"/>
      <c r="G218" s="70"/>
      <c r="H218" s="70"/>
      <c r="I218" s="70"/>
    </row>
    <row r="219" spans="1:9" x14ac:dyDescent="0.25">
      <c r="A219" s="523" t="s">
        <v>6863</v>
      </c>
      <c r="B219" s="524"/>
      <c r="C219" s="565">
        <v>1459</v>
      </c>
      <c r="D219" s="407"/>
      <c r="E219" s="407">
        <v>3084.1846709832862</v>
      </c>
      <c r="F219" s="505"/>
      <c r="G219" s="70"/>
      <c r="H219" s="70"/>
      <c r="I219" s="70"/>
    </row>
    <row r="220" spans="1:9" x14ac:dyDescent="0.25">
      <c r="A220" s="514" t="s">
        <v>6864</v>
      </c>
      <c r="B220" s="522"/>
      <c r="C220" s="564">
        <v>3646</v>
      </c>
      <c r="D220" s="369"/>
      <c r="E220" s="492">
        <v>4112.2462279777146</v>
      </c>
      <c r="F220" s="505"/>
      <c r="G220" s="70"/>
      <c r="H220" s="70"/>
      <c r="I220" s="70"/>
    </row>
    <row r="221" spans="1:9" x14ac:dyDescent="0.25">
      <c r="A221" s="515" t="s">
        <v>6857</v>
      </c>
      <c r="B221" s="522"/>
      <c r="C221" s="493">
        <f>SUM(C218:C220)</f>
        <v>32628</v>
      </c>
      <c r="D221" s="71"/>
      <c r="E221" s="494">
        <f>SUM(E218:E220)</f>
        <v>35623.890618882702</v>
      </c>
      <c r="F221" s="505"/>
      <c r="H221" s="479"/>
      <c r="I221" s="479"/>
    </row>
    <row r="222" spans="1:9" x14ac:dyDescent="0.25">
      <c r="A222" s="526"/>
      <c r="B222" s="524"/>
      <c r="C222" s="562"/>
      <c r="D222" s="563"/>
      <c r="E222" s="562"/>
      <c r="F222" s="505"/>
      <c r="G222" s="70"/>
      <c r="H222" s="70"/>
      <c r="I222" s="70"/>
    </row>
    <row r="223" spans="1:9" x14ac:dyDescent="0.25">
      <c r="A223" s="527" t="s">
        <v>4503</v>
      </c>
      <c r="B223" s="528"/>
      <c r="C223" s="562">
        <f>C215+C221</f>
        <v>48766</v>
      </c>
      <c r="D223" s="563"/>
      <c r="E223" s="562">
        <f>E215+E221</f>
        <v>64466</v>
      </c>
      <c r="F223" s="508"/>
      <c r="G223" s="556" t="e">
        <f>ROUND((#REF!-C223),0)</f>
        <v>#REF!</v>
      </c>
      <c r="H223" s="556" t="e">
        <f>ROUND((#REF!-E223),0)</f>
        <v>#REF!</v>
      </c>
      <c r="I223" s="70"/>
    </row>
    <row r="224" spans="1:9" x14ac:dyDescent="0.25">
      <c r="A224" s="977"/>
      <c r="B224" s="977"/>
      <c r="C224" s="977"/>
      <c r="D224" s="977"/>
      <c r="E224" s="977"/>
      <c r="F224" s="977"/>
      <c r="G224" s="70"/>
      <c r="H224" s="70"/>
      <c r="I224" s="70"/>
    </row>
    <row r="225" spans="1:9" x14ac:dyDescent="0.25">
      <c r="A225" s="986" t="e">
        <f xml:space="preserve"> CONCATENATE(#REF!," - OBRIGAÇÕES TRIBUTÁRIAS")</f>
        <v>#REF!</v>
      </c>
      <c r="B225" s="986"/>
      <c r="C225" s="986"/>
      <c r="D225" s="986"/>
      <c r="E225" s="986"/>
      <c r="F225" s="986"/>
      <c r="G225" s="70"/>
      <c r="H225" s="70"/>
      <c r="I225" s="70"/>
    </row>
    <row r="226" spans="1:9" ht="98.25" customHeight="1" x14ac:dyDescent="0.25">
      <c r="A226" s="966" t="s">
        <v>6865</v>
      </c>
      <c r="B226" s="966"/>
      <c r="C226" s="966"/>
      <c r="D226" s="966"/>
      <c r="E226" s="966"/>
      <c r="F226" s="966"/>
      <c r="G226" s="70"/>
      <c r="H226" s="70"/>
      <c r="I226" s="70"/>
    </row>
    <row r="227" spans="1:9" x14ac:dyDescent="0.25">
      <c r="A227" s="977"/>
      <c r="B227" s="977"/>
      <c r="C227" s="977"/>
      <c r="D227" s="977"/>
      <c r="E227" s="977"/>
      <c r="F227" s="977"/>
      <c r="G227" s="70"/>
      <c r="H227" s="70"/>
      <c r="I227" s="70"/>
    </row>
    <row r="228" spans="1:9" x14ac:dyDescent="0.25">
      <c r="A228" s="511" t="s">
        <v>6866</v>
      </c>
      <c r="B228" s="517"/>
      <c r="C228" s="365" t="str">
        <f>C217</f>
        <v xml:space="preserve"> Março 2025</v>
      </c>
      <c r="D228" s="518"/>
      <c r="E228" s="365" t="str">
        <f>E217</f>
        <v xml:space="preserve"> Dezembro 2024</v>
      </c>
      <c r="F228" s="503"/>
      <c r="G228" s="70"/>
      <c r="H228" s="70"/>
      <c r="I228" s="70"/>
    </row>
    <row r="229" spans="1:9" x14ac:dyDescent="0.25">
      <c r="A229" s="516" t="s">
        <v>6868</v>
      </c>
      <c r="B229" s="372"/>
      <c r="C229" s="366">
        <f>14383796.98/1000</f>
        <v>14383.796980000001</v>
      </c>
      <c r="D229" s="369"/>
      <c r="E229" s="366">
        <f>17671+787</f>
        <v>18458</v>
      </c>
      <c r="F229" s="505"/>
      <c r="G229" s="70"/>
      <c r="H229" s="70"/>
      <c r="I229" s="70"/>
    </row>
    <row r="230" spans="1:9" x14ac:dyDescent="0.25">
      <c r="A230" s="516" t="s">
        <v>6869</v>
      </c>
      <c r="B230" s="372"/>
      <c r="C230" s="366">
        <f>980350.33/1000</f>
        <v>980.35032999999999</v>
      </c>
      <c r="D230" s="369"/>
      <c r="E230" s="366">
        <v>398</v>
      </c>
      <c r="F230" s="505"/>
      <c r="G230" s="70"/>
      <c r="H230" s="70"/>
      <c r="I230" s="70"/>
    </row>
    <row r="231" spans="1:9" x14ac:dyDescent="0.25">
      <c r="A231" s="516" t="s">
        <v>6870</v>
      </c>
      <c r="B231" s="372"/>
      <c r="C231" s="488">
        <f>3479280.75/1000</f>
        <v>3479.2807499999999</v>
      </c>
      <c r="D231" s="369"/>
      <c r="E231" s="93">
        <v>3504</v>
      </c>
      <c r="F231" s="505"/>
      <c r="G231" s="70"/>
      <c r="H231" s="70"/>
      <c r="I231" s="70"/>
    </row>
    <row r="232" spans="1:9" x14ac:dyDescent="0.25">
      <c r="A232" s="511" t="s">
        <v>6867</v>
      </c>
      <c r="B232" s="519"/>
      <c r="C232" s="566">
        <f>SUM(C229:C231)</f>
        <v>18843.428059999998</v>
      </c>
      <c r="D232" s="520"/>
      <c r="E232" s="567">
        <f>SUM(E229:E231)</f>
        <v>22360</v>
      </c>
      <c r="F232" s="508"/>
      <c r="G232" s="556" t="e">
        <f>ROUND((#REF!-C232),0)</f>
        <v>#REF!</v>
      </c>
      <c r="H232" s="556" t="e">
        <f>ROUND((#REF!-E232),0)</f>
        <v>#REF!</v>
      </c>
      <c r="I232" s="70"/>
    </row>
    <row r="233" spans="1:9" x14ac:dyDescent="0.25">
      <c r="A233" s="977"/>
      <c r="B233" s="977"/>
      <c r="C233" s="977"/>
      <c r="D233" s="977"/>
      <c r="E233" s="977"/>
      <c r="F233" s="977"/>
      <c r="G233" s="70"/>
      <c r="H233" s="70"/>
      <c r="I233" s="70"/>
    </row>
    <row r="234" spans="1:9" x14ac:dyDescent="0.25">
      <c r="A234" s="572" t="e">
        <f xml:space="preserve"> CONCATENATE(#REF!," - OBRIGAÇÕES COM CLIENTES")</f>
        <v>#REF!</v>
      </c>
      <c r="G234" s="70"/>
      <c r="H234" s="70"/>
      <c r="I234" s="70"/>
    </row>
    <row r="235" spans="1:9" ht="34.5" customHeight="1" x14ac:dyDescent="0.25">
      <c r="A235" s="966" t="s">
        <v>6871</v>
      </c>
      <c r="B235" s="966"/>
      <c r="C235" s="966"/>
      <c r="D235" s="966"/>
      <c r="E235" s="966"/>
      <c r="F235" s="966"/>
      <c r="G235" s="70"/>
      <c r="H235" s="70"/>
      <c r="I235" s="70"/>
    </row>
    <row r="236" spans="1:9" x14ac:dyDescent="0.25">
      <c r="A236" s="977"/>
      <c r="B236" s="977"/>
      <c r="C236" s="977"/>
      <c r="D236" s="977"/>
      <c r="E236" s="977"/>
      <c r="F236" s="977"/>
      <c r="G236" s="70"/>
      <c r="H236" s="70"/>
      <c r="I236" s="70"/>
    </row>
    <row r="237" spans="1:9" x14ac:dyDescent="0.25">
      <c r="A237" s="511" t="s">
        <v>4508</v>
      </c>
      <c r="B237" s="529"/>
      <c r="C237" s="530" t="str">
        <f>C228</f>
        <v xml:space="preserve"> Março 2025</v>
      </c>
      <c r="D237" s="531"/>
      <c r="E237" s="530" t="str">
        <f>E228</f>
        <v xml:space="preserve"> Dezembro 2024</v>
      </c>
      <c r="F237" s="503"/>
      <c r="G237" s="70"/>
      <c r="H237" s="70"/>
      <c r="I237" s="70"/>
    </row>
    <row r="238" spans="1:9" x14ac:dyDescent="0.25">
      <c r="A238" s="516" t="s">
        <v>4511</v>
      </c>
      <c r="B238" s="372"/>
      <c r="C238" s="376">
        <v>33.042619999999999</v>
      </c>
      <c r="D238" s="92"/>
      <c r="E238" s="376">
        <v>104</v>
      </c>
      <c r="F238" s="505"/>
      <c r="G238" s="478"/>
      <c r="H238" s="70"/>
      <c r="I238" s="70"/>
    </row>
    <row r="239" spans="1:9" x14ac:dyDescent="0.25">
      <c r="A239" s="516" t="s">
        <v>6872</v>
      </c>
      <c r="B239" s="372"/>
      <c r="C239" s="376">
        <v>1890.21234</v>
      </c>
      <c r="D239" s="92"/>
      <c r="E239" s="376">
        <v>1890</v>
      </c>
      <c r="F239" s="505"/>
      <c r="G239" s="478"/>
      <c r="H239" s="70"/>
      <c r="I239" s="70"/>
    </row>
    <row r="240" spans="1:9" x14ac:dyDescent="0.25">
      <c r="A240" s="516" t="s">
        <v>4509</v>
      </c>
      <c r="B240" s="372"/>
      <c r="C240" s="376">
        <v>33631.854579999999</v>
      </c>
      <c r="D240" s="92"/>
      <c r="E240" s="376">
        <v>32398</v>
      </c>
      <c r="F240" s="505"/>
      <c r="G240" s="478"/>
      <c r="H240" s="70"/>
      <c r="I240" s="70"/>
    </row>
    <row r="241" spans="1:9" x14ac:dyDescent="0.25">
      <c r="A241" s="516" t="s">
        <v>6873</v>
      </c>
      <c r="B241" s="372"/>
      <c r="C241" s="376">
        <v>6966.25947</v>
      </c>
      <c r="D241" s="92"/>
      <c r="E241" s="376">
        <v>6966</v>
      </c>
      <c r="F241" s="505"/>
      <c r="G241" s="478"/>
      <c r="H241" s="70"/>
      <c r="I241" s="70"/>
    </row>
    <row r="242" spans="1:9" x14ac:dyDescent="0.25">
      <c r="A242" s="516" t="s">
        <v>6874</v>
      </c>
      <c r="B242" s="372"/>
      <c r="C242" s="376">
        <v>2350.6204400000001</v>
      </c>
      <c r="D242" s="92"/>
      <c r="E242" s="376">
        <v>2351</v>
      </c>
      <c r="F242" s="505"/>
      <c r="G242" s="478"/>
      <c r="H242" s="479"/>
      <c r="I242" s="479"/>
    </row>
    <row r="243" spans="1:9" x14ac:dyDescent="0.25">
      <c r="A243" s="516" t="s">
        <v>6875</v>
      </c>
      <c r="B243" s="372"/>
      <c r="C243" s="376">
        <v>1761</v>
      </c>
      <c r="D243" s="92"/>
      <c r="E243" s="376">
        <v>1761</v>
      </c>
      <c r="F243" s="505"/>
      <c r="G243" s="478"/>
      <c r="H243" s="70"/>
      <c r="I243" s="70"/>
    </row>
    <row r="244" spans="1:9" x14ac:dyDescent="0.25">
      <c r="A244" s="516" t="s">
        <v>5653</v>
      </c>
      <c r="B244" s="372"/>
      <c r="C244" s="376">
        <v>275.48209000000003</v>
      </c>
      <c r="D244" s="92"/>
      <c r="E244" s="376">
        <v>275</v>
      </c>
      <c r="F244" s="505"/>
      <c r="G244" s="478"/>
      <c r="H244" s="70"/>
      <c r="I244" s="70"/>
    </row>
    <row r="245" spans="1:9" x14ac:dyDescent="0.25">
      <c r="A245" s="511" t="s">
        <v>4503</v>
      </c>
      <c r="B245" s="519"/>
      <c r="C245" s="566">
        <f>SUM(C238:C244)</f>
        <v>46908.471539999991</v>
      </c>
      <c r="D245" s="520"/>
      <c r="E245" s="567">
        <f>SUM(E238:E244)</f>
        <v>45745</v>
      </c>
      <c r="F245" s="508"/>
      <c r="G245" s="556" t="e">
        <f>ROUND((#REF!-C245),0)</f>
        <v>#REF!</v>
      </c>
      <c r="H245" s="556" t="e">
        <f>ROUND((#REF!-E245),0)</f>
        <v>#REF!</v>
      </c>
      <c r="I245" s="70"/>
    </row>
    <row r="246" spans="1:9" x14ac:dyDescent="0.25">
      <c r="A246" s="977"/>
      <c r="B246" s="977"/>
      <c r="C246" s="977"/>
      <c r="D246" s="977"/>
      <c r="E246" s="977"/>
      <c r="F246" s="977"/>
      <c r="G246" s="70"/>
      <c r="H246" s="70"/>
      <c r="I246" s="70"/>
    </row>
    <row r="247" spans="1:9" x14ac:dyDescent="0.25">
      <c r="A247" s="986" t="e">
        <f xml:space="preserve"> CONCATENATE(#REF!," - OUTRAS OBRIGAÇÕES")</f>
        <v>#REF!</v>
      </c>
      <c r="B247" s="986"/>
      <c r="C247" s="986"/>
      <c r="D247" s="986"/>
      <c r="E247" s="986"/>
      <c r="F247" s="986"/>
      <c r="G247" s="70"/>
      <c r="H247" s="70"/>
      <c r="I247" s="70"/>
    </row>
    <row r="248" spans="1:9" s="573" customFormat="1" ht="35.25" customHeight="1" x14ac:dyDescent="0.2">
      <c r="A248" s="966" t="s">
        <v>6876</v>
      </c>
      <c r="B248" s="966"/>
      <c r="C248" s="966"/>
      <c r="D248" s="966"/>
      <c r="E248" s="966"/>
      <c r="F248" s="966"/>
      <c r="G248" s="484"/>
      <c r="H248" s="484"/>
      <c r="I248" s="484"/>
    </row>
    <row r="249" spans="1:9" x14ac:dyDescent="0.25">
      <c r="A249" s="977"/>
      <c r="B249" s="977"/>
      <c r="C249" s="977"/>
      <c r="D249" s="977"/>
      <c r="E249" s="977"/>
      <c r="F249" s="977"/>
      <c r="G249" s="70"/>
      <c r="H249" s="70"/>
      <c r="I249" s="70"/>
    </row>
    <row r="250" spans="1:9" x14ac:dyDescent="0.25">
      <c r="A250" s="511" t="s">
        <v>4512</v>
      </c>
      <c r="B250" s="529"/>
      <c r="C250" s="530" t="str">
        <f>C237</f>
        <v xml:space="preserve"> Março 2025</v>
      </c>
      <c r="D250" s="533"/>
      <c r="E250" s="530" t="str">
        <f>E237</f>
        <v xml:space="preserve"> Dezembro 2024</v>
      </c>
      <c r="F250" s="503"/>
      <c r="G250" s="70"/>
      <c r="H250" s="70"/>
      <c r="I250" s="70"/>
    </row>
    <row r="251" spans="1:9" x14ac:dyDescent="0.25">
      <c r="A251" s="516" t="s">
        <v>6877</v>
      </c>
      <c r="B251" s="372"/>
      <c r="C251" s="376">
        <f>237897.42/1000</f>
        <v>237.89742000000001</v>
      </c>
      <c r="D251" s="92"/>
      <c r="E251" s="376">
        <v>291</v>
      </c>
      <c r="F251" s="505"/>
      <c r="G251" s="70"/>
      <c r="H251" s="70"/>
      <c r="I251" s="70"/>
    </row>
    <row r="252" spans="1:9" x14ac:dyDescent="0.25">
      <c r="A252" s="516" t="s">
        <v>6878</v>
      </c>
      <c r="B252" s="372"/>
      <c r="C252" s="376">
        <f>15463.74/1000</f>
        <v>15.46374</v>
      </c>
      <c r="D252" s="92"/>
      <c r="E252" s="376">
        <v>15</v>
      </c>
      <c r="F252" s="505"/>
      <c r="G252" s="70"/>
      <c r="H252" s="70"/>
      <c r="I252" s="70"/>
    </row>
    <row r="253" spans="1:9" x14ac:dyDescent="0.25">
      <c r="A253" s="516" t="s">
        <v>6879</v>
      </c>
      <c r="B253" s="372"/>
      <c r="C253" s="376">
        <f>1039662.97/1000</f>
        <v>1039.6629699999999</v>
      </c>
      <c r="D253" s="92"/>
      <c r="E253" s="376">
        <v>1176</v>
      </c>
      <c r="F253" s="505"/>
      <c r="G253" s="70"/>
      <c r="H253" s="70"/>
      <c r="I253" s="70"/>
    </row>
    <row r="254" spans="1:9" x14ac:dyDescent="0.25">
      <c r="A254" s="516" t="s">
        <v>6880</v>
      </c>
      <c r="B254" s="372"/>
      <c r="C254" s="376">
        <f>1405503.27/1000</f>
        <v>1405.5032699999999</v>
      </c>
      <c r="D254" s="92"/>
      <c r="E254" s="376">
        <v>1492</v>
      </c>
      <c r="F254" s="505"/>
      <c r="G254" s="70"/>
      <c r="H254" s="70"/>
      <c r="I254" s="70"/>
    </row>
    <row r="255" spans="1:9" x14ac:dyDescent="0.25">
      <c r="A255" s="516" t="s">
        <v>6881</v>
      </c>
      <c r="B255" s="372"/>
      <c r="C255" s="376">
        <f>(673747.79+136134.92+137460.91)/1000</f>
        <v>947.3436200000001</v>
      </c>
      <c r="D255" s="92"/>
      <c r="E255" s="376">
        <v>737</v>
      </c>
      <c r="F255" s="505"/>
      <c r="G255" s="70"/>
      <c r="H255" s="70"/>
      <c r="I255" s="70"/>
    </row>
    <row r="256" spans="1:9" x14ac:dyDescent="0.25">
      <c r="A256" s="516" t="s">
        <v>1331</v>
      </c>
      <c r="C256" s="376">
        <f>18129.04/1000</f>
        <v>18.12904</v>
      </c>
      <c r="E256" s="534">
        <v>0</v>
      </c>
      <c r="F256" s="505"/>
      <c r="G256" s="70"/>
      <c r="H256" s="70"/>
      <c r="I256" s="70"/>
    </row>
    <row r="257" spans="1:35" x14ac:dyDescent="0.25">
      <c r="A257" s="511" t="s">
        <v>4503</v>
      </c>
      <c r="B257" s="519"/>
      <c r="C257" s="566">
        <f>SUM(C251:C256)</f>
        <v>3664.0000599999998</v>
      </c>
      <c r="D257" s="520"/>
      <c r="E257" s="567">
        <f>SUM(E251:E256)</f>
        <v>3711</v>
      </c>
      <c r="F257" s="508"/>
      <c r="G257" s="556" t="e">
        <f>ROUND((#REF!-C257),0)</f>
        <v>#REF!</v>
      </c>
      <c r="H257" s="556" t="e">
        <f>ROUND((#REF!-E257),0)</f>
        <v>#REF!</v>
      </c>
      <c r="I257" s="70"/>
    </row>
    <row r="258" spans="1:35" x14ac:dyDescent="0.25">
      <c r="A258" s="977"/>
      <c r="B258" s="977"/>
      <c r="C258" s="977"/>
      <c r="D258" s="977"/>
      <c r="E258" s="977"/>
      <c r="F258" s="977"/>
      <c r="G258" s="70"/>
      <c r="H258" s="70"/>
      <c r="I258" s="70"/>
    </row>
    <row r="259" spans="1:35" x14ac:dyDescent="0.25">
      <c r="A259" s="986" t="e">
        <f xml:space="preserve"> CONCATENATE(#REF!," - PREVIDÊNCIA PRIVADA - NUCLEOS ")</f>
        <v>#REF!</v>
      </c>
      <c r="B259" s="986"/>
      <c r="C259" s="986"/>
      <c r="D259" s="986"/>
      <c r="E259" s="986"/>
      <c r="F259" s="986"/>
      <c r="G259" s="70"/>
      <c r="H259" s="70"/>
      <c r="I259" s="70"/>
    </row>
    <row r="260" spans="1:35" x14ac:dyDescent="0.25">
      <c r="A260" s="977"/>
      <c r="B260" s="977"/>
      <c r="C260" s="977"/>
      <c r="D260" s="977"/>
      <c r="E260" s="977"/>
      <c r="F260" s="977"/>
      <c r="G260" s="70"/>
      <c r="H260" s="70"/>
      <c r="I260" s="70"/>
    </row>
    <row r="261" spans="1:35" x14ac:dyDescent="0.25">
      <c r="A261" s="986" t="e">
        <f>CONCATENATE(#REF!,".1 - TERMO DE TRANSAÇÃO")</f>
        <v>#REF!</v>
      </c>
      <c r="B261" s="986"/>
      <c r="C261" s="986"/>
      <c r="D261" s="986"/>
      <c r="E261" s="986"/>
      <c r="F261" s="986"/>
      <c r="G261" s="70"/>
      <c r="H261" s="70"/>
      <c r="I261" s="70"/>
    </row>
    <row r="262" spans="1:35" ht="81" customHeight="1" x14ac:dyDescent="0.25">
      <c r="A262" s="966" t="s">
        <v>6882</v>
      </c>
      <c r="B262" s="966"/>
      <c r="C262" s="966"/>
      <c r="D262" s="966"/>
      <c r="E262" s="966"/>
      <c r="F262" s="966"/>
      <c r="G262" s="70"/>
      <c r="H262" s="70"/>
      <c r="I262" s="70"/>
    </row>
    <row r="263" spans="1:35" x14ac:dyDescent="0.25">
      <c r="A263" s="977"/>
      <c r="B263" s="977"/>
      <c r="C263" s="977"/>
      <c r="D263" s="977"/>
      <c r="E263" s="977"/>
      <c r="F263" s="977"/>
      <c r="G263" s="70"/>
      <c r="H263" s="70"/>
      <c r="I263" s="70"/>
    </row>
    <row r="264" spans="1:35" x14ac:dyDescent="0.25">
      <c r="A264" s="986" t="e">
        <f>CONCATENATE(#REF!,".2 - PLANO DE EQUACIONAMENTO DE DÉFICIT ( PED-2021)")</f>
        <v>#REF!</v>
      </c>
      <c r="B264" s="986"/>
      <c r="C264" s="986"/>
      <c r="D264" s="986"/>
      <c r="E264" s="986"/>
      <c r="F264" s="986"/>
      <c r="G264" s="70"/>
      <c r="H264" s="70"/>
      <c r="I264" s="70"/>
    </row>
    <row r="265" spans="1:35" ht="66.75" customHeight="1" x14ac:dyDescent="0.25">
      <c r="A265" s="966" t="s">
        <v>6883</v>
      </c>
      <c r="B265" s="966"/>
      <c r="C265" s="966"/>
      <c r="D265" s="966"/>
      <c r="E265" s="966"/>
      <c r="F265" s="966"/>
      <c r="G265" s="70"/>
      <c r="H265" s="70"/>
      <c r="I265" s="70"/>
    </row>
    <row r="266" spans="1:35" ht="50.25" customHeight="1" x14ac:dyDescent="0.25">
      <c r="A266" s="966" t="s">
        <v>6884</v>
      </c>
      <c r="B266" s="966"/>
      <c r="C266" s="966"/>
      <c r="D266" s="966"/>
      <c r="E266" s="966"/>
      <c r="F266" s="966"/>
      <c r="G266" s="70"/>
      <c r="H266" s="70"/>
      <c r="I266" s="70"/>
    </row>
    <row r="267" spans="1:35" x14ac:dyDescent="0.25">
      <c r="A267" s="977"/>
      <c r="B267" s="977"/>
      <c r="C267" s="977"/>
      <c r="D267" s="977"/>
      <c r="E267" s="977"/>
      <c r="F267" s="977"/>
      <c r="G267" s="70"/>
      <c r="H267" s="70"/>
      <c r="I267" s="70"/>
    </row>
    <row r="268" spans="1:35" x14ac:dyDescent="0.25">
      <c r="A268" s="990"/>
      <c r="B268" s="990"/>
      <c r="C268" s="990"/>
      <c r="D268" s="990"/>
      <c r="E268" s="990"/>
      <c r="F268" s="990"/>
      <c r="G268" s="70"/>
      <c r="H268" s="70"/>
      <c r="I268" s="70"/>
      <c r="O268" s="412" t="s">
        <v>6889</v>
      </c>
      <c r="P268" s="380"/>
      <c r="Q268" s="1001" t="str">
        <f>C250</f>
        <v xml:space="preserve"> Março 2025</v>
      </c>
      <c r="R268" s="1002"/>
      <c r="S268" s="1002"/>
      <c r="T268" s="378"/>
      <c r="U268" s="412" t="s">
        <v>4503</v>
      </c>
      <c r="V268" s="70"/>
      <c r="W268" s="1001" t="str">
        <f>E250</f>
        <v xml:space="preserve"> Dezembro 2024</v>
      </c>
      <c r="X268" s="1002"/>
      <c r="Y268" s="1002"/>
      <c r="Z268" s="70"/>
      <c r="AA268" s="412" t="s">
        <v>4503</v>
      </c>
    </row>
    <row r="269" spans="1:35" x14ac:dyDescent="0.25">
      <c r="A269" s="990"/>
      <c r="B269" s="990"/>
      <c r="C269" s="990"/>
      <c r="D269" s="990"/>
      <c r="E269" s="990"/>
      <c r="F269" s="990"/>
      <c r="G269" s="70"/>
      <c r="H269" s="70"/>
      <c r="I269" s="70"/>
      <c r="O269" s="381"/>
      <c r="P269" s="380"/>
      <c r="Q269" s="379" t="s">
        <v>4510</v>
      </c>
      <c r="R269" s="381"/>
      <c r="S269" s="379" t="s">
        <v>4514</v>
      </c>
      <c r="T269" s="382"/>
      <c r="U269" s="70"/>
      <c r="V269" s="70"/>
      <c r="W269" s="379" t="s">
        <v>4510</v>
      </c>
      <c r="X269" s="381"/>
      <c r="Y269" s="379" t="s">
        <v>4514</v>
      </c>
      <c r="Z269" s="70"/>
      <c r="AA269" s="70"/>
    </row>
    <row r="270" spans="1:35" x14ac:dyDescent="0.25">
      <c r="A270" s="990"/>
      <c r="B270" s="990"/>
      <c r="C270" s="990"/>
      <c r="D270" s="990"/>
      <c r="E270" s="990"/>
      <c r="F270" s="990"/>
      <c r="G270" s="70"/>
      <c r="H270" s="70"/>
      <c r="I270" s="70"/>
      <c r="O270" s="91" t="s">
        <v>4610</v>
      </c>
      <c r="P270" s="380"/>
      <c r="Q270" s="376">
        <v>23210</v>
      </c>
      <c r="R270" s="91"/>
      <c r="S270" s="376">
        <f>231634333.29/1000</f>
        <v>231634.33328999998</v>
      </c>
      <c r="T270" s="378"/>
      <c r="U270" s="376">
        <f>Q270+S270</f>
        <v>254844.33328999998</v>
      </c>
      <c r="V270" s="70"/>
      <c r="W270" s="376">
        <v>25160</v>
      </c>
      <c r="X270" s="91"/>
      <c r="Y270" s="376">
        <v>224741</v>
      </c>
      <c r="Z270" s="70"/>
      <c r="AA270" s="376">
        <f>W270+Y270</f>
        <v>249901</v>
      </c>
    </row>
    <row r="271" spans="1:35" x14ac:dyDescent="0.25">
      <c r="A271" s="990"/>
      <c r="B271" s="990"/>
      <c r="C271" s="990"/>
      <c r="D271" s="990"/>
      <c r="E271" s="990"/>
      <c r="F271" s="990"/>
      <c r="O271" s="577" t="s">
        <v>6908</v>
      </c>
      <c r="P271" s="380"/>
      <c r="Q271" s="578">
        <v>2427.1319600000002</v>
      </c>
      <c r="R271" s="91"/>
      <c r="S271" s="578">
        <f>35892593.93/1000</f>
        <v>35892.593930000003</v>
      </c>
      <c r="T271" s="378"/>
      <c r="U271" s="578">
        <f>Q271+S271</f>
        <v>38319.725890000002</v>
      </c>
      <c r="V271" s="70"/>
      <c r="W271" s="578">
        <v>2685</v>
      </c>
      <c r="X271" s="91"/>
      <c r="Y271" s="578">
        <v>33597</v>
      </c>
      <c r="Z271" s="70"/>
      <c r="AA271" s="578">
        <f>W271+Y271</f>
        <v>36282</v>
      </c>
    </row>
    <row r="272" spans="1:35" x14ac:dyDescent="0.25">
      <c r="A272" s="990"/>
      <c r="B272" s="990"/>
      <c r="C272" s="990"/>
      <c r="D272" s="990"/>
      <c r="E272" s="990"/>
      <c r="F272" s="990"/>
      <c r="O272" s="412" t="s">
        <v>4503</v>
      </c>
      <c r="P272" s="380"/>
      <c r="Q272" s="575">
        <f>Q270+Q271</f>
        <v>25637.131959999999</v>
      </c>
      <c r="R272" s="384"/>
      <c r="S272" s="575">
        <f>S270+S271</f>
        <v>267526.92721999995</v>
      </c>
      <c r="T272" s="378"/>
      <c r="U272" s="576">
        <f>Q272+S272</f>
        <v>293164.05917999998</v>
      </c>
      <c r="V272" s="70"/>
      <c r="W272" s="575">
        <f>W270+W271</f>
        <v>27845</v>
      </c>
      <c r="X272" s="384"/>
      <c r="Y272" s="575">
        <f>Y270+Y271</f>
        <v>258338</v>
      </c>
      <c r="Z272" s="70"/>
      <c r="AA272" s="576">
        <f>W272+Y272</f>
        <v>286183</v>
      </c>
      <c r="AC272" s="555" t="e">
        <f>ROUND((#REF!-Q272),0)</f>
        <v>#REF!</v>
      </c>
      <c r="AD272" s="477"/>
      <c r="AE272" s="555" t="e">
        <f>ROUND((#REF!-S272),0)</f>
        <v>#REF!</v>
      </c>
      <c r="AF272" s="70"/>
      <c r="AG272" s="555" t="e">
        <f>ROUND((#REF!-W272),0)</f>
        <v>#REF!</v>
      </c>
      <c r="AH272" s="477"/>
      <c r="AI272" s="555" t="e">
        <f>ROUND((#REF!-Y272),0)</f>
        <v>#REF!</v>
      </c>
    </row>
    <row r="273" spans="1:31" x14ac:dyDescent="0.25">
      <c r="A273" s="977"/>
      <c r="B273" s="977"/>
      <c r="C273" s="977"/>
      <c r="D273" s="977"/>
      <c r="E273" s="977"/>
      <c r="F273" s="977"/>
      <c r="O273" s="70"/>
      <c r="P273" s="70"/>
      <c r="Z273" s="70"/>
      <c r="AA273" s="70"/>
    </row>
    <row r="274" spans="1:31" x14ac:dyDescent="0.25">
      <c r="A274" s="986" t="e">
        <f xml:space="preserve"> CONCATENATE(#REF!," - RECEITA DE SUBVENÇÃO A REALIZAR")</f>
        <v>#REF!</v>
      </c>
      <c r="B274" s="986"/>
      <c r="C274" s="986"/>
      <c r="D274" s="986"/>
      <c r="E274" s="986"/>
      <c r="F274" s="986"/>
    </row>
    <row r="275" spans="1:31" ht="99" customHeight="1" x14ac:dyDescent="0.25">
      <c r="A275" s="966" t="s">
        <v>6888</v>
      </c>
      <c r="B275" s="966"/>
      <c r="C275" s="966"/>
      <c r="D275" s="966"/>
      <c r="E275" s="966"/>
      <c r="F275" s="966"/>
    </row>
    <row r="276" spans="1:31" x14ac:dyDescent="0.25">
      <c r="A276" s="977"/>
      <c r="B276" s="977"/>
      <c r="C276" s="977"/>
      <c r="D276" s="977"/>
      <c r="E276" s="977"/>
      <c r="F276" s="977"/>
    </row>
    <row r="277" spans="1:31" x14ac:dyDescent="0.25">
      <c r="O277" s="371" t="s">
        <v>4513</v>
      </c>
      <c r="P277" s="380"/>
      <c r="Q277" s="1001" t="str">
        <f>C250</f>
        <v xml:space="preserve"> Março 2025</v>
      </c>
      <c r="R277" s="1002"/>
      <c r="S277" s="1002"/>
      <c r="T277" s="378"/>
      <c r="U277" s="1001" t="str">
        <f>E250</f>
        <v xml:space="preserve"> Dezembro 2024</v>
      </c>
      <c r="V277" s="1001"/>
      <c r="W277" s="1001"/>
    </row>
    <row r="278" spans="1:31" x14ac:dyDescent="0.25">
      <c r="O278" s="381"/>
      <c r="P278" s="380"/>
      <c r="Q278" s="379" t="s">
        <v>4510</v>
      </c>
      <c r="R278" s="381"/>
      <c r="S278" s="379" t="s">
        <v>4514</v>
      </c>
      <c r="T278" s="382"/>
      <c r="U278" s="379" t="s">
        <v>4510</v>
      </c>
      <c r="V278" s="381"/>
      <c r="W278" s="379" t="s">
        <v>4514</v>
      </c>
    </row>
    <row r="279" spans="1:31" x14ac:dyDescent="0.25">
      <c r="O279" s="91" t="s">
        <v>6886</v>
      </c>
      <c r="P279" s="380"/>
      <c r="Q279" s="376">
        <v>0</v>
      </c>
      <c r="R279" s="91"/>
      <c r="S279" s="376">
        <f>(29415347.8+27133273.11)/1000</f>
        <v>56548.620909999998</v>
      </c>
      <c r="T279" s="378"/>
      <c r="U279" s="376">
        <v>0</v>
      </c>
      <c r="V279" s="91"/>
      <c r="W279" s="376">
        <v>28355</v>
      </c>
    </row>
    <row r="280" spans="1:31" x14ac:dyDescent="0.25">
      <c r="O280" s="91" t="s">
        <v>1235</v>
      </c>
      <c r="P280" s="380"/>
      <c r="Q280" s="376">
        <v>0</v>
      </c>
      <c r="R280" s="91"/>
      <c r="S280" s="376">
        <f>1560162.45/1000</f>
        <v>1560.16245</v>
      </c>
      <c r="T280" s="378"/>
      <c r="U280" s="376">
        <v>0</v>
      </c>
      <c r="V280" s="91"/>
      <c r="W280" s="376">
        <v>1560</v>
      </c>
    </row>
    <row r="281" spans="1:31" x14ac:dyDescent="0.25">
      <c r="O281" s="91" t="s">
        <v>6887</v>
      </c>
      <c r="P281" s="380"/>
      <c r="Q281" s="376">
        <v>0</v>
      </c>
      <c r="R281" s="91"/>
      <c r="S281" s="376">
        <f>1342403.22/1000</f>
        <v>1342.4032199999999</v>
      </c>
      <c r="T281" s="378"/>
      <c r="U281" s="376">
        <v>0</v>
      </c>
      <c r="V281" s="91"/>
      <c r="W281" s="376">
        <v>1342</v>
      </c>
    </row>
    <row r="282" spans="1:31" x14ac:dyDescent="0.25">
      <c r="O282" s="91" t="s">
        <v>6885</v>
      </c>
      <c r="P282" s="380"/>
      <c r="Q282" s="376">
        <v>55529.556920000003</v>
      </c>
      <c r="R282" s="91"/>
      <c r="S282" s="376">
        <f>(28565692.58+12820917.24)/1000</f>
        <v>41386.609819999998</v>
      </c>
      <c r="T282" s="378"/>
      <c r="U282" s="376">
        <v>55530</v>
      </c>
      <c r="V282" s="91"/>
      <c r="W282" s="376">
        <v>41388</v>
      </c>
    </row>
    <row r="283" spans="1:31" x14ac:dyDescent="0.25">
      <c r="O283" s="373" t="s">
        <v>4503</v>
      </c>
      <c r="P283" s="380"/>
      <c r="Q283" s="579">
        <f>SUM(Q279:Q282)</f>
        <v>55529.556920000003</v>
      </c>
      <c r="R283" s="580"/>
      <c r="S283" s="579">
        <f>SUM(S279:S282)</f>
        <v>100837.79639999999</v>
      </c>
      <c r="T283" s="581"/>
      <c r="U283" s="579">
        <f>SUM(U279:U282)</f>
        <v>55530</v>
      </c>
      <c r="V283" s="580"/>
      <c r="W283" s="582">
        <f>SUM(W279:W282)</f>
        <v>72645</v>
      </c>
      <c r="AB283" s="476" t="e">
        <f>ROUND((#REF!-W283),0)</f>
        <v>#REF!</v>
      </c>
      <c r="AC283" s="555" t="e">
        <f>ROUND((#REF!-Q283),0)</f>
        <v>#REF!</v>
      </c>
      <c r="AD283" s="476" t="e">
        <f>ROUND((#REF!-S283),0)</f>
        <v>#REF!</v>
      </c>
      <c r="AE283" s="555" t="e">
        <f>ROUND((#REF!-U283),0)</f>
        <v>#REF!</v>
      </c>
    </row>
    <row r="284" spans="1:31" x14ac:dyDescent="0.25">
      <c r="A284" s="977"/>
      <c r="B284" s="977"/>
      <c r="C284" s="977"/>
      <c r="D284" s="977"/>
      <c r="E284" s="977"/>
      <c r="F284" s="977"/>
    </row>
    <row r="285" spans="1:31" x14ac:dyDescent="0.25">
      <c r="A285" s="986" t="e">
        <f>CONCATENATE(#REF!," - PROCESSOS JUDICIAIS E PASSIVOS CONTINGENTES")</f>
        <v>#REF!</v>
      </c>
      <c r="B285" s="986"/>
      <c r="C285" s="986"/>
      <c r="D285" s="986"/>
      <c r="E285" s="986"/>
      <c r="F285" s="986"/>
      <c r="G285" s="70"/>
      <c r="H285" s="70"/>
      <c r="I285" s="70"/>
    </row>
    <row r="286" spans="1:31" x14ac:dyDescent="0.25">
      <c r="A286" s="977"/>
      <c r="B286" s="977"/>
      <c r="C286" s="977"/>
      <c r="D286" s="977"/>
      <c r="E286" s="977"/>
      <c r="F286" s="977"/>
      <c r="G286" s="70"/>
      <c r="H286" s="70"/>
      <c r="I286" s="70"/>
    </row>
    <row r="287" spans="1:31" x14ac:dyDescent="0.25">
      <c r="A287" s="986" t="e">
        <f>CONCATENATE(#REF!,".1 - PROCESSOS PROVISIONADOS")</f>
        <v>#REF!</v>
      </c>
      <c r="B287" s="986"/>
      <c r="C287" s="986"/>
      <c r="D287" s="986"/>
      <c r="E287" s="986"/>
      <c r="F287" s="986"/>
      <c r="G287" s="72"/>
      <c r="H287" s="72"/>
      <c r="I287" s="72"/>
    </row>
    <row r="288" spans="1:31" ht="51" customHeight="1" x14ac:dyDescent="0.25">
      <c r="A288" s="966" t="s">
        <v>6890</v>
      </c>
      <c r="B288" s="966"/>
      <c r="C288" s="966"/>
      <c r="D288" s="966"/>
      <c r="E288" s="966"/>
      <c r="F288" s="966"/>
      <c r="G288" s="70"/>
      <c r="H288" s="70"/>
      <c r="I288" s="70"/>
    </row>
    <row r="289" spans="1:9" ht="51" customHeight="1" x14ac:dyDescent="0.25">
      <c r="A289" s="966" t="s">
        <v>6891</v>
      </c>
      <c r="B289" s="966"/>
      <c r="C289" s="966"/>
      <c r="D289" s="966"/>
      <c r="E289" s="966"/>
      <c r="F289" s="966"/>
      <c r="G289" s="70"/>
      <c r="H289" s="70"/>
      <c r="I289" s="70"/>
    </row>
    <row r="290" spans="1:9" x14ac:dyDescent="0.25">
      <c r="A290" s="977"/>
      <c r="B290" s="977"/>
      <c r="C290" s="977"/>
      <c r="D290" s="977"/>
      <c r="E290" s="977"/>
      <c r="F290" s="977"/>
      <c r="G290" s="70"/>
      <c r="H290" s="70"/>
      <c r="I290" s="70"/>
    </row>
    <row r="291" spans="1:9" x14ac:dyDescent="0.25">
      <c r="A291" s="511" t="s">
        <v>6893</v>
      </c>
      <c r="B291" s="529"/>
      <c r="C291" s="530" t="str">
        <f>C250</f>
        <v xml:space="preserve"> Março 2025</v>
      </c>
      <c r="D291" s="533"/>
      <c r="E291" s="530" t="str">
        <f>E250</f>
        <v xml:space="preserve"> Dezembro 2024</v>
      </c>
      <c r="F291" s="503"/>
      <c r="G291" s="70"/>
      <c r="H291" s="70"/>
      <c r="I291" s="70"/>
    </row>
    <row r="292" spans="1:9" x14ac:dyDescent="0.25">
      <c r="A292" s="516" t="s">
        <v>6894</v>
      </c>
      <c r="B292" s="372"/>
      <c r="C292" s="376">
        <v>21028</v>
      </c>
      <c r="D292" s="92"/>
      <c r="E292" s="376">
        <v>19932</v>
      </c>
      <c r="F292" s="505"/>
      <c r="G292" s="70"/>
      <c r="H292" s="70"/>
      <c r="I292" s="70"/>
    </row>
    <row r="293" spans="1:9" x14ac:dyDescent="0.25">
      <c r="A293" s="516" t="s">
        <v>6895</v>
      </c>
      <c r="B293" s="372"/>
      <c r="C293" s="376">
        <v>2903</v>
      </c>
      <c r="D293" s="92"/>
      <c r="E293" s="376">
        <v>2903</v>
      </c>
      <c r="F293" s="505"/>
      <c r="G293" s="70"/>
      <c r="I293" s="479"/>
    </row>
    <row r="294" spans="1:9" x14ac:dyDescent="0.25">
      <c r="A294" s="511" t="s">
        <v>4503</v>
      </c>
      <c r="B294" s="535"/>
      <c r="C294" s="566">
        <f>SUM(C292:C293)</f>
        <v>23931</v>
      </c>
      <c r="D294" s="568"/>
      <c r="E294" s="569">
        <f>SUM(E292:E293)</f>
        <v>22835</v>
      </c>
      <c r="F294" s="508"/>
      <c r="G294" s="556" t="e">
        <f>ROUND((#REF!-C294),0)</f>
        <v>#REF!</v>
      </c>
      <c r="H294" s="556" t="e">
        <f>ROUND((#REF!-E294),0)</f>
        <v>#REF!</v>
      </c>
      <c r="I294" s="70"/>
    </row>
    <row r="295" spans="1:9" x14ac:dyDescent="0.25">
      <c r="A295" s="977"/>
      <c r="B295" s="977"/>
      <c r="C295" s="977"/>
      <c r="D295" s="977"/>
      <c r="E295" s="977"/>
      <c r="F295" s="70"/>
      <c r="G295" s="557"/>
      <c r="H295" s="557"/>
      <c r="I295" s="70"/>
    </row>
    <row r="296" spans="1:9" x14ac:dyDescent="0.25">
      <c r="A296" s="986" t="e">
        <f>CONCATENATE(#REF!,".2 - PASSIVOS CONTINGENTES")</f>
        <v>#REF!</v>
      </c>
      <c r="B296" s="986"/>
      <c r="C296" s="986"/>
      <c r="D296" s="986"/>
      <c r="E296" s="986"/>
      <c r="F296" s="70"/>
      <c r="G296" s="557"/>
      <c r="H296" s="557"/>
      <c r="I296" s="70"/>
    </row>
    <row r="297" spans="1:9" x14ac:dyDescent="0.25">
      <c r="A297" s="977" t="s">
        <v>6892</v>
      </c>
      <c r="B297" s="977"/>
      <c r="C297" s="977"/>
      <c r="D297" s="977"/>
      <c r="E297" s="977"/>
      <c r="F297" s="70"/>
      <c r="G297" s="557"/>
      <c r="H297" s="557"/>
      <c r="I297" s="70"/>
    </row>
    <row r="298" spans="1:9" x14ac:dyDescent="0.25">
      <c r="A298" s="977"/>
      <c r="B298" s="977"/>
      <c r="C298" s="977"/>
      <c r="D298" s="977"/>
      <c r="E298" s="977"/>
      <c r="F298" s="70"/>
      <c r="G298" s="557"/>
      <c r="H298" s="557"/>
      <c r="I298" s="70"/>
    </row>
    <row r="299" spans="1:9" x14ac:dyDescent="0.25">
      <c r="A299" s="511" t="s">
        <v>6896</v>
      </c>
      <c r="B299" s="529"/>
      <c r="C299" s="530" t="str">
        <f>C291</f>
        <v xml:space="preserve"> Março 2025</v>
      </c>
      <c r="D299" s="533"/>
      <c r="E299" s="530" t="str">
        <f>E291</f>
        <v xml:space="preserve"> Dezembro 2024</v>
      </c>
      <c r="F299" s="503"/>
      <c r="G299" s="557"/>
      <c r="H299" s="557"/>
      <c r="I299" s="70"/>
    </row>
    <row r="300" spans="1:9" x14ac:dyDescent="0.25">
      <c r="A300" s="516" t="s">
        <v>6897</v>
      </c>
      <c r="B300" s="372"/>
      <c r="C300" s="376">
        <v>46722.747490000002</v>
      </c>
      <c r="D300" s="92"/>
      <c r="E300" s="376">
        <v>42265</v>
      </c>
      <c r="F300" s="505"/>
      <c r="G300" s="557"/>
      <c r="H300" s="557"/>
      <c r="I300" s="70"/>
    </row>
    <row r="301" spans="1:9" x14ac:dyDescent="0.25">
      <c r="A301" s="516" t="s">
        <v>6898</v>
      </c>
      <c r="B301" s="372"/>
      <c r="C301" s="376">
        <f>2668970.55/1000</f>
        <v>2668.97055</v>
      </c>
      <c r="D301" s="92"/>
      <c r="E301" s="376">
        <v>2855</v>
      </c>
      <c r="F301" s="505"/>
      <c r="G301" s="557"/>
      <c r="H301" s="557"/>
      <c r="I301" s="70"/>
    </row>
    <row r="302" spans="1:9" x14ac:dyDescent="0.25">
      <c r="A302" s="511" t="s">
        <v>4503</v>
      </c>
      <c r="B302" s="535"/>
      <c r="C302" s="566">
        <f>SUM(C300:C301)</f>
        <v>49391.71804</v>
      </c>
      <c r="D302" s="568"/>
      <c r="E302" s="569">
        <f>SUM(E300:E301)</f>
        <v>45120</v>
      </c>
      <c r="F302" s="508"/>
      <c r="G302" s="557"/>
      <c r="H302" s="557"/>
      <c r="I302" s="70"/>
    </row>
    <row r="303" spans="1:9" x14ac:dyDescent="0.25">
      <c r="A303" s="977"/>
      <c r="B303" s="977"/>
      <c r="C303" s="977"/>
      <c r="D303" s="977"/>
      <c r="E303" s="977"/>
      <c r="F303" s="977"/>
      <c r="G303" s="557"/>
      <c r="H303" s="557"/>
      <c r="I303" s="70"/>
    </row>
    <row r="304" spans="1:9" x14ac:dyDescent="0.25">
      <c r="A304" s="986" t="e">
        <f>CONCATENATE(#REF!," - PATRIMÔNIO LÍQUIDO")</f>
        <v>#REF!</v>
      </c>
      <c r="B304" s="986"/>
      <c r="C304" s="986"/>
      <c r="D304" s="986"/>
      <c r="E304" s="986"/>
      <c r="F304" s="986"/>
      <c r="G304" s="557"/>
      <c r="H304" s="557"/>
      <c r="I304" s="70"/>
    </row>
    <row r="305" spans="1:9" x14ac:dyDescent="0.25">
      <c r="A305" s="977"/>
      <c r="B305" s="977"/>
      <c r="C305" s="977"/>
      <c r="D305" s="977"/>
      <c r="E305" s="977"/>
      <c r="F305" s="977"/>
      <c r="G305" s="557"/>
      <c r="H305" s="557"/>
      <c r="I305" s="70"/>
    </row>
    <row r="306" spans="1:9" x14ac:dyDescent="0.25">
      <c r="A306" s="511" t="s">
        <v>4406</v>
      </c>
      <c r="B306" s="537"/>
      <c r="C306" s="365" t="str">
        <f>C299</f>
        <v xml:space="preserve"> Março 2025</v>
      </c>
      <c r="D306" s="518"/>
      <c r="E306" s="365" t="str">
        <f>E299</f>
        <v xml:space="preserve"> Dezembro 2024</v>
      </c>
      <c r="F306" s="503"/>
      <c r="G306" s="557"/>
      <c r="H306" s="557"/>
      <c r="I306" s="70"/>
    </row>
    <row r="307" spans="1:9" x14ac:dyDescent="0.25">
      <c r="A307" s="523" t="s">
        <v>4407</v>
      </c>
      <c r="B307" s="388"/>
      <c r="C307" s="390">
        <v>63114</v>
      </c>
      <c r="D307" s="387"/>
      <c r="E307" s="390">
        <v>63114</v>
      </c>
      <c r="F307" s="505"/>
      <c r="G307" s="557"/>
      <c r="H307" s="557"/>
      <c r="I307" s="70"/>
    </row>
    <row r="308" spans="1:9" hidden="1" x14ac:dyDescent="0.25">
      <c r="A308" s="538" t="s">
        <v>4611</v>
      </c>
      <c r="B308" s="388"/>
      <c r="C308" s="390"/>
      <c r="D308" s="392"/>
      <c r="E308" s="390">
        <v>0</v>
      </c>
      <c r="F308" s="505"/>
      <c r="G308" s="557"/>
      <c r="H308" s="557"/>
      <c r="I308" s="70"/>
    </row>
    <row r="309" spans="1:9" x14ac:dyDescent="0.25">
      <c r="A309" s="538" t="s">
        <v>6899</v>
      </c>
      <c r="B309" s="388"/>
      <c r="C309" s="390">
        <v>18540</v>
      </c>
      <c r="D309" s="387"/>
      <c r="E309" s="390">
        <v>18540</v>
      </c>
      <c r="F309" s="505"/>
      <c r="G309" s="557"/>
      <c r="H309" s="557"/>
      <c r="I309" s="70"/>
    </row>
    <row r="310" spans="1:9" x14ac:dyDescent="0.25">
      <c r="A310" s="538" t="s">
        <v>6900</v>
      </c>
      <c r="B310" s="388"/>
      <c r="C310" s="390">
        <v>976</v>
      </c>
      <c r="D310" s="70"/>
      <c r="E310" s="390">
        <v>976</v>
      </c>
      <c r="F310" s="505"/>
      <c r="G310" s="557"/>
      <c r="H310" s="557"/>
      <c r="I310" s="70"/>
    </row>
    <row r="311" spans="1:9" x14ac:dyDescent="0.25">
      <c r="A311" s="538" t="s">
        <v>2807</v>
      </c>
      <c r="B311" s="74"/>
      <c r="C311" s="390">
        <v>14197</v>
      </c>
      <c r="D311" s="74"/>
      <c r="E311" s="390">
        <v>14505</v>
      </c>
      <c r="F311" s="505"/>
      <c r="G311" s="557"/>
      <c r="H311" s="557"/>
      <c r="I311" s="70"/>
    </row>
    <row r="312" spans="1:9" x14ac:dyDescent="0.25">
      <c r="A312" s="538" t="s">
        <v>2803</v>
      </c>
      <c r="B312" s="74"/>
      <c r="C312" s="390">
        <v>159864</v>
      </c>
      <c r="D312" s="74"/>
      <c r="E312" s="390">
        <v>159864</v>
      </c>
      <c r="F312" s="505"/>
      <c r="G312" s="557"/>
      <c r="H312" s="557"/>
      <c r="I312" s="70"/>
    </row>
    <row r="313" spans="1:9" x14ac:dyDescent="0.25">
      <c r="A313" s="504" t="s">
        <v>6901</v>
      </c>
      <c r="B313" s="388"/>
      <c r="C313" s="93">
        <v>-96</v>
      </c>
      <c r="D313" s="387"/>
      <c r="E313" s="93">
        <v>0</v>
      </c>
      <c r="F313" s="505"/>
      <c r="G313" s="557"/>
      <c r="H313" s="557"/>
      <c r="I313" s="70"/>
    </row>
    <row r="314" spans="1:9" x14ac:dyDescent="0.25">
      <c r="A314" s="511" t="s">
        <v>4503</v>
      </c>
      <c r="B314" s="535"/>
      <c r="C314" s="539">
        <f>SUM(C307:C313)</f>
        <v>256595</v>
      </c>
      <c r="D314" s="532"/>
      <c r="E314" s="539">
        <f>SUM(E307:E313)</f>
        <v>256999</v>
      </c>
      <c r="F314" s="508"/>
      <c r="G314" s="556" t="e">
        <f>ROUND((#REF!-C314),0)</f>
        <v>#REF!</v>
      </c>
      <c r="H314" s="556" t="e">
        <f>ROUND((#REF!-E314),0)</f>
        <v>#REF!</v>
      </c>
      <c r="I314" s="70"/>
    </row>
    <row r="315" spans="1:9" x14ac:dyDescent="0.25">
      <c r="A315" s="977"/>
      <c r="B315" s="977"/>
      <c r="C315" s="977"/>
      <c r="D315" s="977"/>
      <c r="E315" s="977"/>
      <c r="F315" s="977"/>
      <c r="G315" s="557"/>
      <c r="H315" s="557"/>
      <c r="I315" s="70"/>
    </row>
    <row r="316" spans="1:9" x14ac:dyDescent="0.25">
      <c r="A316" s="986" t="e">
        <f>CONCATENATE(#REF!," - CAPITAL SOCIAL")</f>
        <v>#REF!</v>
      </c>
      <c r="B316" s="986"/>
      <c r="C316" s="986"/>
      <c r="D316" s="986"/>
      <c r="E316" s="986"/>
      <c r="F316" s="986"/>
      <c r="G316" s="557"/>
      <c r="H316" s="557"/>
      <c r="I316" s="70"/>
    </row>
    <row r="317" spans="1:9" ht="34.5" customHeight="1" x14ac:dyDescent="0.25">
      <c r="A317" s="966" t="s">
        <v>6902</v>
      </c>
      <c r="B317" s="966"/>
      <c r="C317" s="966"/>
      <c r="D317" s="966"/>
      <c r="E317" s="966"/>
      <c r="F317" s="966"/>
      <c r="G317" s="557"/>
      <c r="H317" s="557"/>
      <c r="I317" s="70"/>
    </row>
    <row r="318" spans="1:9" x14ac:dyDescent="0.25">
      <c r="A318" s="977"/>
      <c r="B318" s="977"/>
      <c r="C318" s="977"/>
      <c r="D318" s="977"/>
      <c r="E318" s="977"/>
      <c r="F318" s="977"/>
      <c r="G318" s="557"/>
      <c r="H318" s="557"/>
      <c r="I318" s="70"/>
    </row>
    <row r="319" spans="1:9" ht="112.5" customHeight="1" x14ac:dyDescent="0.25">
      <c r="A319" s="966" t="s">
        <v>6917</v>
      </c>
      <c r="B319" s="966"/>
      <c r="C319" s="966"/>
      <c r="D319" s="966"/>
      <c r="E319" s="966"/>
      <c r="F319" s="966"/>
      <c r="G319" s="557"/>
      <c r="H319" s="557"/>
      <c r="I319" s="70"/>
    </row>
    <row r="320" spans="1:9" x14ac:dyDescent="0.25">
      <c r="A320" s="977"/>
      <c r="B320" s="977"/>
      <c r="C320" s="977"/>
      <c r="D320" s="977"/>
      <c r="E320" s="977"/>
      <c r="F320" s="977"/>
      <c r="G320" s="557"/>
      <c r="H320" s="557"/>
      <c r="I320" s="70"/>
    </row>
    <row r="321" spans="1:47" ht="31.5" x14ac:dyDescent="0.25">
      <c r="A321" s="977"/>
      <c r="B321" s="977"/>
      <c r="C321" s="977"/>
      <c r="D321" s="977"/>
      <c r="E321" s="977"/>
      <c r="F321" s="977"/>
      <c r="G321" s="557"/>
      <c r="H321" s="557"/>
      <c r="I321" s="70"/>
      <c r="O321" s="82"/>
      <c r="AK321" s="583" t="s">
        <v>6918</v>
      </c>
      <c r="AL321" s="584"/>
      <c r="AM321" s="585" t="s">
        <v>6922</v>
      </c>
      <c r="AN321" s="584"/>
      <c r="AO321" s="585" t="s">
        <v>6923</v>
      </c>
      <c r="AP321" s="584"/>
      <c r="AQ321" s="585" t="s">
        <v>6924</v>
      </c>
      <c r="AR321" s="584"/>
      <c r="AS321" s="585" t="s">
        <v>6925</v>
      </c>
      <c r="AT321" s="584"/>
      <c r="AU321" s="585" t="s">
        <v>6926</v>
      </c>
    </row>
    <row r="322" spans="1:47" x14ac:dyDescent="0.25">
      <c r="A322" s="977"/>
      <c r="B322" s="977"/>
      <c r="C322" s="977"/>
      <c r="D322" s="977"/>
      <c r="E322" s="977"/>
      <c r="F322" s="977"/>
      <c r="G322" s="558"/>
      <c r="H322" s="558"/>
      <c r="I322" s="360"/>
      <c r="AK322" s="586" t="s">
        <v>4359</v>
      </c>
      <c r="AL322" s="586"/>
      <c r="AM322" s="587">
        <v>464</v>
      </c>
      <c r="AN322" s="587"/>
      <c r="AO322" s="587">
        <v>-13</v>
      </c>
      <c r="AP322" s="587"/>
      <c r="AQ322" s="587">
        <v>-23</v>
      </c>
      <c r="AR322" s="587"/>
      <c r="AS322" s="587">
        <v>-23</v>
      </c>
      <c r="AT322" s="587"/>
      <c r="AU322" s="587">
        <f>SUM(AM322:AS322)</f>
        <v>405</v>
      </c>
    </row>
    <row r="323" spans="1:47" x14ac:dyDescent="0.25">
      <c r="A323" s="977"/>
      <c r="B323" s="977"/>
      <c r="C323" s="977"/>
      <c r="D323" s="977"/>
      <c r="E323" s="977"/>
      <c r="F323" s="977"/>
      <c r="G323" s="557"/>
      <c r="H323" s="557"/>
      <c r="I323" s="70"/>
      <c r="AK323" s="586" t="s">
        <v>6927</v>
      </c>
      <c r="AL323" s="586"/>
      <c r="AM323" s="587">
        <v>483</v>
      </c>
      <c r="AN323" s="587"/>
      <c r="AO323" s="587">
        <v>-48</v>
      </c>
      <c r="AP323" s="587"/>
      <c r="AQ323" s="587">
        <v>-97</v>
      </c>
      <c r="AR323" s="587"/>
      <c r="AS323" s="587">
        <v>-97</v>
      </c>
      <c r="AT323" s="587"/>
      <c r="AU323" s="587">
        <f>SUM(AM323:AS323)</f>
        <v>241</v>
      </c>
    </row>
    <row r="324" spans="1:47" x14ac:dyDescent="0.25">
      <c r="A324" s="977"/>
      <c r="B324" s="977"/>
      <c r="C324" s="977"/>
      <c r="D324" s="977"/>
      <c r="E324" s="977"/>
      <c r="F324" s="977"/>
      <c r="G324" s="557"/>
      <c r="H324" s="557"/>
      <c r="I324" s="70"/>
      <c r="AK324" s="586" t="s">
        <v>6919</v>
      </c>
      <c r="AL324" s="586"/>
      <c r="AM324" s="587">
        <v>495</v>
      </c>
      <c r="AN324" s="587"/>
      <c r="AO324" s="587">
        <v>-13</v>
      </c>
      <c r="AP324" s="587"/>
      <c r="AQ324" s="587">
        <v>-30</v>
      </c>
      <c r="AR324" s="587"/>
      <c r="AS324" s="587">
        <v>-30</v>
      </c>
      <c r="AT324" s="587"/>
      <c r="AU324" s="587">
        <f>SUM(AM324:AS324)</f>
        <v>422</v>
      </c>
    </row>
    <row r="325" spans="1:47" x14ac:dyDescent="0.25">
      <c r="A325" s="977"/>
      <c r="B325" s="977"/>
      <c r="C325" s="977"/>
      <c r="D325" s="977"/>
      <c r="E325" s="977"/>
      <c r="F325" s="977"/>
      <c r="G325" s="557"/>
      <c r="H325" s="557"/>
      <c r="I325" s="70"/>
      <c r="AK325" s="586" t="s">
        <v>6920</v>
      </c>
      <c r="AL325" s="586"/>
      <c r="AM325" s="587">
        <v>394</v>
      </c>
      <c r="AN325" s="587"/>
      <c r="AO325" s="587">
        <v>-16</v>
      </c>
      <c r="AP325" s="587"/>
      <c r="AQ325" s="587">
        <v>-26</v>
      </c>
      <c r="AR325" s="587"/>
      <c r="AS325" s="587">
        <v>-26</v>
      </c>
      <c r="AT325" s="587"/>
      <c r="AU325" s="587">
        <f>SUM(AM325:AS325)</f>
        <v>326</v>
      </c>
    </row>
    <row r="326" spans="1:47" x14ac:dyDescent="0.25">
      <c r="A326" s="977"/>
      <c r="B326" s="977"/>
      <c r="C326" s="977"/>
      <c r="D326" s="977"/>
      <c r="E326" s="977"/>
      <c r="F326" s="977"/>
      <c r="G326" s="557"/>
      <c r="H326" s="557"/>
      <c r="I326" s="70"/>
      <c r="AK326" s="588" t="s">
        <v>6921</v>
      </c>
      <c r="AL326" s="586"/>
      <c r="AM326" s="589">
        <v>68</v>
      </c>
      <c r="AN326" s="587"/>
      <c r="AO326" s="589">
        <v>-3</v>
      </c>
      <c r="AP326" s="587"/>
      <c r="AQ326" s="589">
        <v>-7</v>
      </c>
      <c r="AR326" s="587"/>
      <c r="AS326" s="589">
        <v>-7</v>
      </c>
      <c r="AT326" s="587"/>
      <c r="AU326" s="589">
        <f>SUM(AM326:AS326)</f>
        <v>51</v>
      </c>
    </row>
    <row r="327" spans="1:47" x14ac:dyDescent="0.25">
      <c r="A327" s="977"/>
      <c r="B327" s="977"/>
      <c r="C327" s="977"/>
      <c r="D327" s="977"/>
      <c r="E327" s="977"/>
      <c r="F327" s="977"/>
      <c r="G327" s="557"/>
      <c r="H327" s="557"/>
      <c r="I327" s="70"/>
      <c r="AK327" s="584" t="s">
        <v>4503</v>
      </c>
      <c r="AL327" s="586"/>
      <c r="AM327" s="587">
        <f>SUM(AM322:AM326)</f>
        <v>1904</v>
      </c>
      <c r="AN327" s="587"/>
      <c r="AO327" s="587">
        <f>SUM(AO322:AO326)</f>
        <v>-93</v>
      </c>
      <c r="AP327" s="587"/>
      <c r="AQ327" s="587">
        <f>SUM(AQ322:AQ326)</f>
        <v>-183</v>
      </c>
      <c r="AR327" s="587"/>
      <c r="AS327" s="587">
        <f>SUM(AS322:AS326)</f>
        <v>-183</v>
      </c>
      <c r="AT327" s="587"/>
      <c r="AU327" s="587">
        <f>SUM(AU322:AU326)</f>
        <v>1445</v>
      </c>
    </row>
    <row r="328" spans="1:47" ht="20.25" customHeight="1" x14ac:dyDescent="0.25">
      <c r="A328" s="977"/>
      <c r="B328" s="977"/>
      <c r="C328" s="977"/>
      <c r="D328" s="977"/>
      <c r="E328" s="977"/>
      <c r="F328" s="977"/>
      <c r="G328" s="557"/>
      <c r="H328" s="557"/>
      <c r="I328" s="70"/>
    </row>
    <row r="329" spans="1:47" x14ac:dyDescent="0.25">
      <c r="A329" s="497"/>
      <c r="B329" s="497"/>
      <c r="C329" s="497"/>
      <c r="D329" s="497"/>
      <c r="E329" s="497"/>
      <c r="F329" s="497"/>
      <c r="G329" s="557"/>
      <c r="H329" s="557"/>
      <c r="I329" s="70"/>
    </row>
    <row r="330" spans="1:47" x14ac:dyDescent="0.25">
      <c r="A330" s="986" t="e">
        <f>CONCATENATE(#REF!," - RESERVA DE REAVALIAÇÃO")</f>
        <v>#REF!</v>
      </c>
      <c r="B330" s="986"/>
      <c r="C330" s="986"/>
      <c r="D330" s="986"/>
      <c r="E330" s="986"/>
      <c r="F330" s="986"/>
      <c r="G330" s="557"/>
      <c r="H330" s="557"/>
      <c r="I330" s="70"/>
    </row>
    <row r="331" spans="1:47" ht="34.5" customHeight="1" x14ac:dyDescent="0.25">
      <c r="A331" s="966" t="s">
        <v>6907</v>
      </c>
      <c r="B331" s="966"/>
      <c r="C331" s="966"/>
      <c r="D331" s="966"/>
      <c r="E331" s="966"/>
      <c r="F331" s="966"/>
      <c r="G331" s="557"/>
      <c r="H331" s="557"/>
      <c r="I331" s="70"/>
    </row>
    <row r="332" spans="1:47" ht="36" customHeight="1" x14ac:dyDescent="0.25">
      <c r="A332" s="966" t="s">
        <v>7122</v>
      </c>
      <c r="B332" s="966"/>
      <c r="C332" s="966"/>
      <c r="D332" s="966"/>
      <c r="E332" s="966"/>
      <c r="F332" s="966"/>
      <c r="G332" s="557"/>
      <c r="H332" s="557"/>
      <c r="I332" s="70"/>
    </row>
    <row r="333" spans="1:47" x14ac:dyDescent="0.25">
      <c r="A333" s="977"/>
      <c r="B333" s="977"/>
      <c r="C333" s="977"/>
      <c r="D333" s="977"/>
      <c r="E333" s="977"/>
      <c r="F333" s="977"/>
      <c r="G333" s="557"/>
      <c r="H333" s="557"/>
      <c r="I333" s="70"/>
    </row>
    <row r="334" spans="1:47" x14ac:dyDescent="0.25">
      <c r="A334" s="511" t="s">
        <v>6911</v>
      </c>
      <c r="B334" s="537"/>
      <c r="C334" s="365" t="str">
        <f>C306</f>
        <v xml:space="preserve"> Março 2025</v>
      </c>
      <c r="D334" s="541"/>
      <c r="E334" s="365" t="str">
        <f>E306</f>
        <v xml:space="preserve"> Dezembro 2024</v>
      </c>
      <c r="F334" s="503"/>
      <c r="G334" s="557"/>
      <c r="H334" s="557"/>
      <c r="I334" s="70"/>
    </row>
    <row r="335" spans="1:47" x14ac:dyDescent="0.25">
      <c r="A335" s="542" t="s">
        <v>6910</v>
      </c>
      <c r="B335" s="388"/>
      <c r="C335" s="393">
        <v>205.21</v>
      </c>
      <c r="D335" s="394"/>
      <c r="E335" s="393">
        <v>1231</v>
      </c>
      <c r="F335" s="505"/>
      <c r="G335" s="557"/>
      <c r="H335" s="557"/>
      <c r="I335" s="70"/>
    </row>
    <row r="336" spans="1:47" x14ac:dyDescent="0.25">
      <c r="A336" s="543" t="s">
        <v>6909</v>
      </c>
      <c r="B336" s="535"/>
      <c r="C336" s="544">
        <f>14300-103</f>
        <v>14197</v>
      </c>
      <c r="D336" s="545"/>
      <c r="E336" s="544">
        <v>14505</v>
      </c>
      <c r="F336" s="508"/>
      <c r="G336" s="556" t="e">
        <f>C336-#REF!</f>
        <v>#REF!</v>
      </c>
      <c r="H336" s="556" t="e">
        <f>E336-#REF!</f>
        <v>#REF!</v>
      </c>
      <c r="I336" s="70"/>
    </row>
    <row r="337" spans="1:9" x14ac:dyDescent="0.25">
      <c r="A337" s="977"/>
      <c r="B337" s="977"/>
      <c r="C337" s="977"/>
      <c r="D337" s="977"/>
      <c r="E337" s="977"/>
      <c r="F337" s="977"/>
      <c r="G337" s="557"/>
      <c r="H337" s="557"/>
      <c r="I337" s="70"/>
    </row>
    <row r="338" spans="1:9" x14ac:dyDescent="0.25">
      <c r="A338" s="986" t="e">
        <f>CONCATENATE(#REF!," - AJUSTE DE AVALIAÇÃO PATRIMONIAL")</f>
        <v>#REF!</v>
      </c>
      <c r="B338" s="986"/>
      <c r="C338" s="986"/>
      <c r="D338" s="986"/>
      <c r="E338" s="986"/>
      <c r="F338" s="986"/>
      <c r="G338" s="557"/>
      <c r="H338" s="557"/>
      <c r="I338" s="70"/>
    </row>
    <row r="339" spans="1:9" ht="112.5" customHeight="1" x14ac:dyDescent="0.25">
      <c r="A339" s="966" t="s">
        <v>6906</v>
      </c>
      <c r="B339" s="966"/>
      <c r="C339" s="966"/>
      <c r="D339" s="966"/>
      <c r="E339" s="966"/>
      <c r="F339" s="966"/>
      <c r="G339" s="557"/>
      <c r="H339" s="557"/>
      <c r="I339" s="70"/>
    </row>
    <row r="340" spans="1:9" x14ac:dyDescent="0.25">
      <c r="A340" s="977"/>
      <c r="B340" s="977"/>
      <c r="C340" s="977"/>
      <c r="D340" s="977"/>
      <c r="E340" s="977"/>
      <c r="F340" s="977"/>
      <c r="G340" s="557"/>
      <c r="H340" s="557"/>
      <c r="I340" s="70"/>
    </row>
    <row r="341" spans="1:9" x14ac:dyDescent="0.25">
      <c r="A341" s="1003" t="e">
        <f>CONCATENATE(#REF!," - PROPOSTA DE DESTINAÇÃO DOS LUCROS ACUMULADOS ")</f>
        <v>#REF!</v>
      </c>
      <c r="B341" s="1003"/>
      <c r="C341" s="1003"/>
      <c r="D341" s="1003"/>
      <c r="E341" s="1003"/>
      <c r="F341" s="1003"/>
      <c r="G341" s="557"/>
      <c r="H341" s="557"/>
      <c r="I341" s="70"/>
    </row>
    <row r="342" spans="1:9" ht="99" customHeight="1" x14ac:dyDescent="0.25">
      <c r="A342" s="982" t="s">
        <v>6905</v>
      </c>
      <c r="B342" s="982"/>
      <c r="C342" s="982"/>
      <c r="D342" s="982"/>
      <c r="E342" s="982"/>
      <c r="F342" s="982"/>
      <c r="G342" s="557"/>
      <c r="H342" s="557"/>
      <c r="I342" s="70"/>
    </row>
    <row r="343" spans="1:9" x14ac:dyDescent="0.25">
      <c r="A343" s="992"/>
      <c r="B343" s="992"/>
      <c r="C343" s="992"/>
      <c r="D343" s="992"/>
      <c r="E343" s="992"/>
      <c r="F343" s="992"/>
      <c r="G343" s="557"/>
      <c r="H343" s="557"/>
      <c r="I343" s="70"/>
    </row>
    <row r="344" spans="1:9" x14ac:dyDescent="0.25">
      <c r="A344" s="992"/>
      <c r="B344" s="992"/>
      <c r="C344" s="992"/>
      <c r="D344" s="992"/>
      <c r="E344" s="992"/>
      <c r="F344" s="992"/>
      <c r="G344" s="557"/>
      <c r="H344" s="557"/>
      <c r="I344" s="70"/>
    </row>
    <row r="345" spans="1:9" x14ac:dyDescent="0.25">
      <c r="A345" s="992"/>
      <c r="B345" s="992"/>
      <c r="C345" s="992"/>
      <c r="D345" s="992"/>
      <c r="E345" s="992"/>
      <c r="F345" s="992"/>
      <c r="G345" s="557"/>
      <c r="H345" s="557"/>
      <c r="I345" s="70"/>
    </row>
    <row r="346" spans="1:9" x14ac:dyDescent="0.25">
      <c r="A346" s="652" t="s">
        <v>6916</v>
      </c>
      <c r="B346" s="653"/>
      <c r="C346" s="654"/>
      <c r="D346" s="655"/>
      <c r="E346" s="656" t="str">
        <f>C334</f>
        <v xml:space="preserve"> Março 2025</v>
      </c>
      <c r="F346" s="657"/>
      <c r="G346" s="557"/>
      <c r="H346" s="557"/>
      <c r="I346" s="70"/>
    </row>
    <row r="347" spans="1:9" x14ac:dyDescent="0.25">
      <c r="A347" s="658" t="s">
        <v>6915</v>
      </c>
      <c r="B347" s="659"/>
      <c r="C347" s="660"/>
      <c r="D347" s="660"/>
      <c r="E347" s="661">
        <v>19483.151180000001</v>
      </c>
      <c r="F347" s="662"/>
      <c r="G347" s="557"/>
      <c r="H347" s="557"/>
      <c r="I347" s="70"/>
    </row>
    <row r="348" spans="1:9" x14ac:dyDescent="0.25">
      <c r="A348" s="658" t="s">
        <v>6912</v>
      </c>
      <c r="B348" s="659"/>
      <c r="C348" s="660"/>
      <c r="D348" s="660"/>
      <c r="E348" s="663">
        <v>32.118189999999998</v>
      </c>
      <c r="F348" s="662"/>
      <c r="G348" s="557"/>
      <c r="H348" s="557"/>
      <c r="I348" s="70"/>
    </row>
    <row r="349" spans="1:9" x14ac:dyDescent="0.25">
      <c r="A349" s="658" t="s">
        <v>6915</v>
      </c>
      <c r="B349" s="659"/>
      <c r="C349" s="660"/>
      <c r="D349" s="660"/>
      <c r="E349" s="663">
        <v>19515.269370000002</v>
      </c>
      <c r="F349" s="662"/>
      <c r="G349" s="557"/>
      <c r="H349" s="557"/>
      <c r="I349" s="70"/>
    </row>
    <row r="350" spans="1:9" x14ac:dyDescent="0.25">
      <c r="A350" s="658" t="s">
        <v>6913</v>
      </c>
      <c r="B350" s="659"/>
      <c r="C350" s="660"/>
      <c r="D350" s="660"/>
      <c r="E350" s="663">
        <v>-975.76346999999998</v>
      </c>
      <c r="F350" s="662"/>
      <c r="G350" s="557"/>
      <c r="H350" s="557"/>
      <c r="I350" s="70"/>
    </row>
    <row r="351" spans="1:9" x14ac:dyDescent="0.25">
      <c r="A351" s="664" t="s">
        <v>6914</v>
      </c>
      <c r="B351" s="665"/>
      <c r="C351" s="666"/>
      <c r="D351" s="666"/>
      <c r="E351" s="667">
        <v>-18539.5059</v>
      </c>
      <c r="F351" s="668"/>
      <c r="G351" s="557"/>
      <c r="H351" s="557"/>
      <c r="I351" s="70"/>
    </row>
    <row r="352" spans="1:9" x14ac:dyDescent="0.25">
      <c r="A352" s="992"/>
      <c r="B352" s="992"/>
      <c r="C352" s="992"/>
      <c r="D352" s="992"/>
      <c r="E352" s="992"/>
      <c r="F352" s="992"/>
      <c r="G352" s="557"/>
      <c r="H352" s="557"/>
      <c r="I352" s="70"/>
    </row>
    <row r="353" spans="1:9" x14ac:dyDescent="0.25">
      <c r="A353" s="986" t="e">
        <f>CONCATENATE(#REF!," - RESERVA PARA INCENTIVOS FISCAIS")</f>
        <v>#REF!</v>
      </c>
      <c r="B353" s="986"/>
      <c r="C353" s="986"/>
      <c r="D353" s="986"/>
      <c r="E353" s="986"/>
      <c r="F353" s="986"/>
      <c r="G353" s="557"/>
      <c r="H353" s="557"/>
      <c r="I353" s="70"/>
    </row>
    <row r="354" spans="1:9" ht="111.75" customHeight="1" x14ac:dyDescent="0.25">
      <c r="A354" s="966" t="s">
        <v>6904</v>
      </c>
      <c r="B354" s="966"/>
      <c r="C354" s="966"/>
      <c r="D354" s="966"/>
      <c r="E354" s="966"/>
      <c r="F354" s="966"/>
      <c r="G354" s="557"/>
      <c r="H354" s="557"/>
      <c r="I354" s="70"/>
    </row>
    <row r="355" spans="1:9" x14ac:dyDescent="0.25">
      <c r="A355" s="977"/>
      <c r="B355" s="977"/>
      <c r="C355" s="977"/>
      <c r="D355" s="977"/>
      <c r="E355" s="977"/>
      <c r="F355" s="977"/>
      <c r="G355" s="557"/>
      <c r="H355" s="557"/>
      <c r="I355" s="70"/>
    </row>
    <row r="356" spans="1:9" x14ac:dyDescent="0.25">
      <c r="A356" s="986" t="e">
        <f>CONCATENATE(#REF!," - RESERVA LEGAL")</f>
        <v>#REF!</v>
      </c>
      <c r="B356" s="986"/>
      <c r="C356" s="986"/>
      <c r="D356" s="986"/>
      <c r="E356" s="986"/>
      <c r="F356" s="986"/>
      <c r="G356" s="557"/>
      <c r="H356" s="557"/>
      <c r="I356" s="70"/>
    </row>
    <row r="357" spans="1:9" ht="55.5" customHeight="1" x14ac:dyDescent="0.25">
      <c r="A357" s="966" t="s">
        <v>6903</v>
      </c>
      <c r="B357" s="966"/>
      <c r="C357" s="966"/>
      <c r="D357" s="966"/>
      <c r="E357" s="966"/>
      <c r="F357" s="966"/>
      <c r="G357" s="557"/>
      <c r="H357" s="557"/>
      <c r="I357" s="70"/>
    </row>
    <row r="358" spans="1:9" x14ac:dyDescent="0.25">
      <c r="A358" s="977"/>
      <c r="B358" s="977"/>
      <c r="C358" s="977"/>
      <c r="D358" s="977"/>
      <c r="E358" s="977"/>
      <c r="F358" s="977"/>
      <c r="G358" s="557"/>
      <c r="H358" s="557"/>
      <c r="I358" s="70"/>
    </row>
    <row r="359" spans="1:9" x14ac:dyDescent="0.25">
      <c r="A359" s="986" t="e">
        <f>CONCATENATE(#REF!," - RECEITA OPERACIONAL LÍQUIDA")</f>
        <v>#REF!</v>
      </c>
      <c r="B359" s="986"/>
      <c r="C359" s="986"/>
      <c r="D359" s="986"/>
      <c r="E359" s="986"/>
      <c r="F359" s="986"/>
      <c r="G359" s="557"/>
      <c r="H359" s="557"/>
      <c r="I359" s="70"/>
    </row>
    <row r="360" spans="1:9" x14ac:dyDescent="0.25">
      <c r="A360" s="977"/>
      <c r="B360" s="977"/>
      <c r="C360" s="977"/>
      <c r="D360" s="977"/>
      <c r="E360" s="977"/>
      <c r="F360" s="977"/>
      <c r="G360" s="557"/>
      <c r="H360" s="557"/>
      <c r="I360" s="70"/>
    </row>
    <row r="361" spans="1:9" x14ac:dyDescent="0.25">
      <c r="A361" s="986" t="e">
        <f>CONCATENATE(#REF!,".1 - RECEITA BRUTA DE VENDAS DE PRODUTOS E SERVIÇOS")</f>
        <v>#REF!</v>
      </c>
      <c r="B361" s="986"/>
      <c r="C361" s="986"/>
      <c r="D361" s="986"/>
      <c r="E361" s="986"/>
      <c r="F361" s="986"/>
      <c r="G361" s="557"/>
      <c r="H361" s="557"/>
      <c r="I361" s="70"/>
    </row>
    <row r="362" spans="1:9" ht="177.75" customHeight="1" x14ac:dyDescent="0.25">
      <c r="A362" s="966" t="s">
        <v>6928</v>
      </c>
      <c r="B362" s="966"/>
      <c r="C362" s="966"/>
      <c r="D362" s="966"/>
      <c r="E362" s="966"/>
      <c r="F362" s="966"/>
      <c r="G362" s="557"/>
      <c r="H362" s="557"/>
      <c r="I362" s="70"/>
    </row>
    <row r="363" spans="1:9" x14ac:dyDescent="0.25">
      <c r="A363" s="977"/>
      <c r="B363" s="977"/>
      <c r="C363" s="977"/>
      <c r="D363" s="977"/>
      <c r="E363" s="977"/>
      <c r="F363" s="977"/>
      <c r="G363" s="559"/>
      <c r="H363" s="559"/>
      <c r="I363" s="77"/>
    </row>
    <row r="364" spans="1:9" ht="33" customHeight="1" x14ac:dyDescent="0.25">
      <c r="A364" s="966" t="s">
        <v>6929</v>
      </c>
      <c r="B364" s="966"/>
      <c r="C364" s="966"/>
      <c r="D364" s="966"/>
      <c r="E364" s="966"/>
      <c r="F364" s="966"/>
      <c r="G364" s="557"/>
      <c r="H364" s="557"/>
      <c r="I364" s="70"/>
    </row>
    <row r="365" spans="1:9" x14ac:dyDescent="0.25">
      <c r="A365" s="977"/>
      <c r="B365" s="977"/>
      <c r="C365" s="977"/>
      <c r="D365" s="977"/>
      <c r="E365" s="977"/>
      <c r="F365" s="977"/>
      <c r="G365" s="557"/>
      <c r="H365" s="557"/>
      <c r="I365" s="70"/>
    </row>
    <row r="366" spans="1:9" x14ac:dyDescent="0.25">
      <c r="A366" s="511" t="s">
        <v>6930</v>
      </c>
      <c r="B366" s="537"/>
      <c r="C366" s="365" t="str">
        <f>C334</f>
        <v xml:space="preserve"> Março 2025</v>
      </c>
      <c r="D366" s="518"/>
      <c r="E366" s="546" t="s">
        <v>7008</v>
      </c>
      <c r="F366" s="503"/>
      <c r="G366" s="557"/>
      <c r="H366" s="557"/>
      <c r="I366" s="70"/>
    </row>
    <row r="367" spans="1:9" x14ac:dyDescent="0.25">
      <c r="A367" s="547" t="s">
        <v>6936</v>
      </c>
      <c r="B367" s="388"/>
      <c r="C367" s="390">
        <v>0</v>
      </c>
      <c r="D367" s="387"/>
      <c r="E367" s="390">
        <v>6013</v>
      </c>
      <c r="F367" s="505"/>
      <c r="G367" s="557"/>
      <c r="H367" s="557"/>
      <c r="I367" s="70"/>
    </row>
    <row r="368" spans="1:9" x14ac:dyDescent="0.25">
      <c r="A368" s="523" t="s">
        <v>6931</v>
      </c>
      <c r="B368" s="388"/>
      <c r="C368" s="386">
        <v>70.629429999999999</v>
      </c>
      <c r="D368" s="387"/>
      <c r="E368" s="386">
        <v>0</v>
      </c>
      <c r="F368" s="505"/>
      <c r="G368" s="557"/>
      <c r="H368" s="557"/>
      <c r="I368" s="70"/>
    </row>
    <row r="369" spans="1:9" x14ac:dyDescent="0.25">
      <c r="A369" s="547" t="s">
        <v>6933</v>
      </c>
      <c r="B369" s="388"/>
      <c r="C369" s="390">
        <v>526.10659999999996</v>
      </c>
      <c r="D369" s="387"/>
      <c r="E369" s="390">
        <v>389</v>
      </c>
      <c r="F369" s="505"/>
      <c r="G369" s="557"/>
      <c r="H369" s="557"/>
      <c r="I369" s="70"/>
    </row>
    <row r="370" spans="1:9" x14ac:dyDescent="0.25">
      <c r="A370" s="547" t="s">
        <v>6935</v>
      </c>
      <c r="B370" s="388"/>
      <c r="C370" s="390">
        <v>0</v>
      </c>
      <c r="D370" s="387"/>
      <c r="E370" s="390">
        <v>12</v>
      </c>
      <c r="F370" s="505"/>
      <c r="G370" s="557"/>
      <c r="H370" s="557"/>
      <c r="I370" s="70"/>
    </row>
    <row r="371" spans="1:9" x14ac:dyDescent="0.25">
      <c r="A371" s="547" t="s">
        <v>6934</v>
      </c>
      <c r="B371" s="388"/>
      <c r="C371" s="390">
        <v>9698.4186099999988</v>
      </c>
      <c r="D371" s="387"/>
      <c r="E371" s="390">
        <v>0</v>
      </c>
      <c r="F371" s="505"/>
      <c r="G371" s="557"/>
      <c r="H371" s="557"/>
      <c r="I371" s="70"/>
    </row>
    <row r="372" spans="1:9" x14ac:dyDescent="0.25">
      <c r="A372" s="547" t="s">
        <v>6932</v>
      </c>
      <c r="B372" s="388"/>
      <c r="C372" s="390">
        <v>119</v>
      </c>
      <c r="D372" s="387"/>
      <c r="E372" s="390">
        <v>0</v>
      </c>
      <c r="F372" s="505"/>
      <c r="G372" s="557"/>
      <c r="H372" s="557"/>
      <c r="I372" s="70"/>
    </row>
    <row r="373" spans="1:9" x14ac:dyDescent="0.25">
      <c r="A373" s="504" t="s">
        <v>6937</v>
      </c>
      <c r="B373" s="388"/>
      <c r="C373" s="390">
        <v>2437.75891</v>
      </c>
      <c r="D373" s="387"/>
      <c r="E373" s="390">
        <v>37</v>
      </c>
      <c r="F373" s="505"/>
      <c r="G373" s="557"/>
      <c r="H373" s="557"/>
      <c r="I373" s="70"/>
    </row>
    <row r="374" spans="1:9" x14ac:dyDescent="0.25">
      <c r="A374" s="511" t="s">
        <v>4503</v>
      </c>
      <c r="B374" s="535"/>
      <c r="C374" s="566">
        <f>SUM(C367:C373)</f>
        <v>12851.913549999999</v>
      </c>
      <c r="D374" s="568"/>
      <c r="E374" s="569">
        <f>SUM(E367:E373)</f>
        <v>6451</v>
      </c>
      <c r="F374" s="508"/>
      <c r="G374" s="556" t="e">
        <f>ROUND((C374-#REF!),0)</f>
        <v>#REF!</v>
      </c>
      <c r="H374" s="556" t="e">
        <f>E374-#REF!</f>
        <v>#REF!</v>
      </c>
      <c r="I374" s="70"/>
    </row>
    <row r="375" spans="1:9" x14ac:dyDescent="0.25">
      <c r="A375" s="977"/>
      <c r="B375" s="977"/>
      <c r="C375" s="977"/>
      <c r="D375" s="977"/>
      <c r="E375" s="977"/>
      <c r="F375" s="977"/>
      <c r="G375" s="557"/>
      <c r="H375" s="557"/>
      <c r="I375" s="70"/>
    </row>
    <row r="376" spans="1:9" x14ac:dyDescent="0.25">
      <c r="A376" s="986" t="e">
        <f>CONCATENATE(#REF!,".1.1 - REGIME ESPECIAL DE TRIBUTAÇÃO PARA A INDÚSTRIA DE DEFESA – RETID ")</f>
        <v>#REF!</v>
      </c>
      <c r="B376" s="986"/>
      <c r="C376" s="986"/>
      <c r="D376" s="986"/>
      <c r="E376" s="986"/>
      <c r="F376" s="986"/>
      <c r="G376" s="557"/>
      <c r="H376" s="557"/>
      <c r="I376" s="70"/>
    </row>
    <row r="377" spans="1:9" ht="129" customHeight="1" x14ac:dyDescent="0.25">
      <c r="A377" s="966" t="s">
        <v>6938</v>
      </c>
      <c r="B377" s="966"/>
      <c r="C377" s="966"/>
      <c r="D377" s="966"/>
      <c r="E377" s="966"/>
      <c r="F377" s="966"/>
      <c r="G377" s="557"/>
      <c r="H377" s="557"/>
      <c r="I377" s="70"/>
    </row>
    <row r="378" spans="1:9" ht="35.25" customHeight="1" x14ac:dyDescent="0.25">
      <c r="A378" s="986" t="e">
        <f>CONCATENATE(#REF!,".1.2 - O REGIME ADUANEIRO ESPECIAL DE IMPORTAÇÃO E EXPORTAÇÃO DE BENS - REPETRO INDUSTRIALIZAÇÃO")</f>
        <v>#REF!</v>
      </c>
      <c r="B378" s="986"/>
      <c r="C378" s="986"/>
      <c r="D378" s="986"/>
      <c r="E378" s="986"/>
      <c r="F378" s="986"/>
      <c r="G378" s="557"/>
      <c r="H378" s="557"/>
      <c r="I378" s="70"/>
    </row>
    <row r="379" spans="1:9" ht="128.25" customHeight="1" x14ac:dyDescent="0.25">
      <c r="A379" s="966" t="s">
        <v>7029</v>
      </c>
      <c r="B379" s="966"/>
      <c r="C379" s="966"/>
      <c r="D379" s="966"/>
      <c r="E379" s="966"/>
      <c r="F379" s="966"/>
      <c r="G379" s="557"/>
      <c r="H379" s="557"/>
      <c r="I379" s="70"/>
    </row>
    <row r="380" spans="1:9" x14ac:dyDescent="0.25">
      <c r="A380" s="966"/>
      <c r="B380" s="966"/>
      <c r="C380" s="966"/>
      <c r="D380" s="966"/>
      <c r="E380" s="966"/>
      <c r="F380" s="966"/>
      <c r="G380" s="557"/>
      <c r="H380" s="557"/>
      <c r="I380" s="70"/>
    </row>
    <row r="381" spans="1:9" x14ac:dyDescent="0.25">
      <c r="A381" s="986" t="e">
        <f>CONCATENATE(#REF!,".2 - RECURSOS ORÇAMENTÁRIOS DO TESOURO NACIONAL – SUBVENÇÕES")</f>
        <v>#REF!</v>
      </c>
      <c r="B381" s="986"/>
      <c r="C381" s="986"/>
      <c r="D381" s="986"/>
      <c r="E381" s="986"/>
      <c r="F381" s="986"/>
      <c r="G381" s="557"/>
      <c r="H381" s="557"/>
      <c r="I381" s="70"/>
    </row>
    <row r="382" spans="1:9" ht="53.25" customHeight="1" x14ac:dyDescent="0.25">
      <c r="A382" s="966" t="s">
        <v>6939</v>
      </c>
      <c r="B382" s="966"/>
      <c r="C382" s="966"/>
      <c r="D382" s="966"/>
      <c r="E382" s="966"/>
      <c r="F382" s="966"/>
      <c r="G382" s="557"/>
      <c r="H382" s="557"/>
      <c r="I382" s="70"/>
    </row>
    <row r="383" spans="1:9" x14ac:dyDescent="0.25">
      <c r="A383" s="977"/>
      <c r="B383" s="977"/>
      <c r="C383" s="977"/>
      <c r="D383" s="977"/>
      <c r="E383" s="977"/>
      <c r="F383" s="977"/>
      <c r="G383" s="557"/>
      <c r="H383" s="557"/>
      <c r="I383" s="70"/>
    </row>
    <row r="384" spans="1:9" ht="67.5" customHeight="1" x14ac:dyDescent="0.25">
      <c r="A384" s="966" t="s">
        <v>6940</v>
      </c>
      <c r="B384" s="966"/>
      <c r="C384" s="966"/>
      <c r="D384" s="966"/>
      <c r="E384" s="966"/>
      <c r="F384" s="966"/>
      <c r="G384" s="557"/>
      <c r="H384" s="557"/>
      <c r="I384" s="70"/>
    </row>
    <row r="385" spans="1:9" x14ac:dyDescent="0.25">
      <c r="A385" s="977"/>
      <c r="B385" s="977"/>
      <c r="C385" s="977"/>
      <c r="D385" s="977"/>
      <c r="E385" s="977"/>
      <c r="F385" s="977"/>
      <c r="G385" s="557"/>
      <c r="H385" s="557"/>
      <c r="I385" s="70"/>
    </row>
    <row r="386" spans="1:9" x14ac:dyDescent="0.25">
      <c r="A386" s="511" t="s">
        <v>6941</v>
      </c>
      <c r="B386" s="517"/>
      <c r="C386" s="365" t="str">
        <f>C366</f>
        <v xml:space="preserve"> Março 2025</v>
      </c>
      <c r="D386" s="518"/>
      <c r="E386" s="365" t="str">
        <f>E366</f>
        <v>Março 2024</v>
      </c>
      <c r="F386" s="503"/>
      <c r="G386" s="557"/>
      <c r="H386" s="557"/>
      <c r="I386" s="70"/>
    </row>
    <row r="387" spans="1:9" x14ac:dyDescent="0.25">
      <c r="A387" s="516" t="s">
        <v>6942</v>
      </c>
      <c r="B387" s="372"/>
      <c r="C387" s="670">
        <v>99063</v>
      </c>
      <c r="D387" s="671"/>
      <c r="E387" s="403">
        <v>85133</v>
      </c>
      <c r="F387" s="505"/>
      <c r="G387" s="557"/>
      <c r="H387" s="557"/>
      <c r="I387" s="70"/>
    </row>
    <row r="388" spans="1:9" x14ac:dyDescent="0.25">
      <c r="A388" s="516" t="s">
        <v>6946</v>
      </c>
      <c r="B388" s="372"/>
      <c r="C388" s="670">
        <v>30</v>
      </c>
      <c r="D388" s="671"/>
      <c r="E388" s="403">
        <v>30</v>
      </c>
      <c r="F388" s="505"/>
      <c r="G388" s="557"/>
      <c r="H388" s="557"/>
      <c r="I388" s="70"/>
    </row>
    <row r="389" spans="1:9" x14ac:dyDescent="0.25">
      <c r="A389" s="516" t="s">
        <v>6947</v>
      </c>
      <c r="B389" s="372"/>
      <c r="C389" s="670">
        <v>10985</v>
      </c>
      <c r="D389" s="671"/>
      <c r="E389" s="403">
        <v>6601</v>
      </c>
      <c r="F389" s="505"/>
      <c r="G389" s="557"/>
      <c r="H389" s="557"/>
      <c r="I389" s="70"/>
    </row>
    <row r="390" spans="1:9" x14ac:dyDescent="0.25">
      <c r="A390" s="516" t="s">
        <v>6948</v>
      </c>
      <c r="B390" s="92"/>
      <c r="C390" s="670">
        <v>1122</v>
      </c>
      <c r="D390" s="672"/>
      <c r="E390" s="673"/>
      <c r="F390" s="505"/>
      <c r="G390" s="557"/>
      <c r="H390" s="557"/>
      <c r="I390" s="70"/>
    </row>
    <row r="391" spans="1:9" x14ac:dyDescent="0.25">
      <c r="A391" s="511" t="s">
        <v>6949</v>
      </c>
      <c r="B391" s="372"/>
      <c r="C391" s="377">
        <f>SUM(C387:C390)</f>
        <v>111200</v>
      </c>
      <c r="D391" s="92"/>
      <c r="E391" s="377">
        <f>SUM(E387:E390)</f>
        <v>91764</v>
      </c>
      <c r="F391" s="505"/>
      <c r="G391" s="556" t="e">
        <f>C391-#REF!</f>
        <v>#REF!</v>
      </c>
      <c r="H391" s="556"/>
      <c r="I391" s="70"/>
    </row>
    <row r="392" spans="1:9" x14ac:dyDescent="0.25">
      <c r="A392" s="514"/>
      <c r="B392" s="372"/>
      <c r="C392" s="92"/>
      <c r="D392" s="92"/>
      <c r="E392" s="92"/>
      <c r="F392" s="505"/>
      <c r="G392" s="557"/>
      <c r="H392" s="557"/>
      <c r="I392" s="70"/>
    </row>
    <row r="393" spans="1:9" x14ac:dyDescent="0.25">
      <c r="A393" s="548" t="s">
        <v>6943</v>
      </c>
      <c r="B393" s="372"/>
      <c r="C393" s="405">
        <f>C391+C374</f>
        <v>124051.91355</v>
      </c>
      <c r="D393" s="92"/>
      <c r="E393" s="405">
        <f>E391+E374</f>
        <v>98215</v>
      </c>
      <c r="F393" s="505"/>
      <c r="G393" s="557"/>
      <c r="H393" s="557"/>
      <c r="I393" s="70"/>
    </row>
    <row r="394" spans="1:9" x14ac:dyDescent="0.25">
      <c r="A394" s="514"/>
      <c r="B394" s="372"/>
      <c r="C394" s="92"/>
      <c r="D394" s="92"/>
      <c r="E394" s="92"/>
      <c r="F394" s="505"/>
      <c r="G394" s="557"/>
      <c r="H394" s="557"/>
      <c r="I394" s="70"/>
    </row>
    <row r="395" spans="1:9" x14ac:dyDescent="0.25">
      <c r="A395" s="549" t="s">
        <v>6944</v>
      </c>
      <c r="B395" s="372"/>
      <c r="C395" s="374" t="str">
        <f>C386</f>
        <v xml:space="preserve"> Março 2025</v>
      </c>
      <c r="D395" s="359"/>
      <c r="E395" s="374" t="str">
        <f>E386</f>
        <v>Março 2024</v>
      </c>
      <c r="F395" s="505"/>
      <c r="G395" s="557"/>
      <c r="H395" s="557"/>
      <c r="I395" s="70"/>
    </row>
    <row r="396" spans="1:9" x14ac:dyDescent="0.2">
      <c r="A396" s="516"/>
      <c r="B396" s="372"/>
      <c r="C396" s="406"/>
      <c r="D396" s="406"/>
      <c r="E396" s="406"/>
      <c r="F396" s="550"/>
      <c r="G396" s="560"/>
      <c r="H396" s="560"/>
      <c r="I396" s="78"/>
    </row>
    <row r="397" spans="1:9" x14ac:dyDescent="0.25">
      <c r="A397" s="516" t="s">
        <v>6950</v>
      </c>
      <c r="B397" s="372"/>
      <c r="C397" s="376">
        <f>C393</f>
        <v>124051.91355</v>
      </c>
      <c r="D397" s="384"/>
      <c r="E397" s="376">
        <f>E393</f>
        <v>98215</v>
      </c>
      <c r="F397" s="505"/>
      <c r="G397" s="557"/>
      <c r="H397" s="557"/>
      <c r="I397" s="70"/>
    </row>
    <row r="398" spans="1:9" x14ac:dyDescent="0.2">
      <c r="A398" s="516" t="s">
        <v>6951</v>
      </c>
      <c r="B398" s="372"/>
      <c r="C398" s="404" t="e">
        <f>#REF!</f>
        <v>#REF!</v>
      </c>
      <c r="D398" s="384"/>
      <c r="E398" s="404">
        <v>-45</v>
      </c>
      <c r="F398" s="550"/>
      <c r="G398" s="560"/>
      <c r="H398" s="560"/>
      <c r="I398" s="78"/>
    </row>
    <row r="399" spans="1:9" x14ac:dyDescent="0.25">
      <c r="A399" s="511" t="s">
        <v>6945</v>
      </c>
      <c r="B399" s="519"/>
      <c r="C399" s="566" t="e">
        <f>SUM(C397:C398)</f>
        <v>#REF!</v>
      </c>
      <c r="D399" s="568"/>
      <c r="E399" s="569">
        <f>SUM(E397:E398)</f>
        <v>98170</v>
      </c>
      <c r="F399" s="508"/>
      <c r="G399" s="556" t="e">
        <f>ROUND((C399-#REF!),0)</f>
        <v>#REF!</v>
      </c>
      <c r="H399" s="556" t="e">
        <f>E399-#REF!</f>
        <v>#REF!</v>
      </c>
      <c r="I399" s="70"/>
    </row>
    <row r="400" spans="1:9" x14ac:dyDescent="0.25">
      <c r="A400" s="977"/>
      <c r="B400" s="977"/>
      <c r="C400" s="977"/>
      <c r="D400" s="977"/>
      <c r="E400" s="977"/>
      <c r="F400" s="977"/>
      <c r="G400" s="557"/>
      <c r="H400" s="557"/>
      <c r="I400" s="70"/>
    </row>
    <row r="401" spans="1:9" x14ac:dyDescent="0.25">
      <c r="A401" s="986" t="e">
        <f>CONCATENATE(#REF!," - CUSTOS DOS PRODUTOS VENDIDOS")</f>
        <v>#REF!</v>
      </c>
      <c r="B401" s="986"/>
      <c r="C401" s="986"/>
      <c r="D401" s="986"/>
      <c r="E401" s="986"/>
      <c r="F401" s="986"/>
      <c r="G401" s="557"/>
      <c r="H401" s="557"/>
      <c r="I401" s="70"/>
    </row>
    <row r="402" spans="1:9" ht="49.5" customHeight="1" x14ac:dyDescent="0.25">
      <c r="A402" s="966" t="s">
        <v>6952</v>
      </c>
      <c r="B402" s="966"/>
      <c r="C402" s="966"/>
      <c r="D402" s="966"/>
      <c r="E402" s="966"/>
      <c r="F402" s="966"/>
      <c r="G402" s="557"/>
      <c r="H402" s="557"/>
      <c r="I402" s="70"/>
    </row>
    <row r="403" spans="1:9" x14ac:dyDescent="0.25">
      <c r="A403" s="977"/>
      <c r="B403" s="977"/>
      <c r="C403" s="977"/>
      <c r="D403" s="977"/>
      <c r="E403" s="977"/>
      <c r="F403" s="977"/>
      <c r="G403" s="557"/>
      <c r="H403" s="557"/>
      <c r="I403" s="70"/>
    </row>
    <row r="404" spans="1:9" ht="51.75" customHeight="1" x14ac:dyDescent="0.25">
      <c r="A404" s="966" t="s">
        <v>6953</v>
      </c>
      <c r="B404" s="966"/>
      <c r="C404" s="966"/>
      <c r="D404" s="966"/>
      <c r="E404" s="966"/>
      <c r="F404" s="966"/>
      <c r="G404" s="557"/>
      <c r="H404" s="557"/>
      <c r="I404" s="70"/>
    </row>
    <row r="405" spans="1:9" x14ac:dyDescent="0.25">
      <c r="A405" s="977"/>
      <c r="B405" s="977"/>
      <c r="C405" s="977"/>
      <c r="D405" s="977"/>
      <c r="E405" s="977"/>
      <c r="F405" s="977"/>
      <c r="G405" s="557"/>
      <c r="H405" s="557"/>
      <c r="I405" s="70"/>
    </row>
    <row r="406" spans="1:9" x14ac:dyDescent="0.25">
      <c r="A406" s="511" t="s">
        <v>6954</v>
      </c>
      <c r="B406" s="517"/>
      <c r="C406" s="365" t="str">
        <f>C395</f>
        <v xml:space="preserve"> Março 2025</v>
      </c>
      <c r="D406" s="518"/>
      <c r="E406" s="365" t="str">
        <f>E395</f>
        <v>Março 2024</v>
      </c>
      <c r="F406" s="503"/>
      <c r="G406" s="557"/>
      <c r="H406" s="557"/>
      <c r="I406" s="70"/>
    </row>
    <row r="407" spans="1:9" x14ac:dyDescent="0.25">
      <c r="A407" s="516" t="s">
        <v>6955</v>
      </c>
      <c r="B407" s="388"/>
      <c r="C407" s="93">
        <f>-(67097.96/1000)</f>
        <v>-67.09796</v>
      </c>
      <c r="D407" s="381"/>
      <c r="E407" s="93">
        <v>0</v>
      </c>
      <c r="F407" s="505"/>
      <c r="G407" s="557"/>
      <c r="H407" s="557"/>
      <c r="I407" s="70"/>
    </row>
    <row r="408" spans="1:9" x14ac:dyDescent="0.25">
      <c r="A408" s="516" t="s">
        <v>6956</v>
      </c>
      <c r="B408" s="388"/>
      <c r="C408" s="93">
        <f>-(7243094.1475/1000)</f>
        <v>-7243.0941475</v>
      </c>
      <c r="D408" s="93"/>
      <c r="E408" s="93">
        <v>0</v>
      </c>
      <c r="F408" s="505"/>
      <c r="G408" s="557"/>
      <c r="H408" s="557"/>
      <c r="I408" s="70"/>
    </row>
    <row r="409" spans="1:9" x14ac:dyDescent="0.25">
      <c r="A409" s="516" t="s">
        <v>6957</v>
      </c>
      <c r="B409" s="388"/>
      <c r="C409" s="93">
        <v>0</v>
      </c>
      <c r="D409" s="93"/>
      <c r="E409" s="93">
        <v>-5601</v>
      </c>
      <c r="F409" s="505"/>
      <c r="G409" s="557"/>
      <c r="H409" s="557"/>
      <c r="I409" s="70"/>
    </row>
    <row r="410" spans="1:9" hidden="1" x14ac:dyDescent="0.25">
      <c r="A410" s="516" t="s">
        <v>6958</v>
      </c>
      <c r="B410" s="388"/>
      <c r="C410" s="93"/>
      <c r="D410" s="93"/>
      <c r="E410" s="93"/>
      <c r="F410" s="505"/>
      <c r="G410" s="557"/>
      <c r="H410" s="557"/>
      <c r="I410" s="70"/>
    </row>
    <row r="411" spans="1:9" hidden="1" x14ac:dyDescent="0.25">
      <c r="A411" s="516" t="s">
        <v>4515</v>
      </c>
      <c r="B411" s="388"/>
      <c r="C411" s="93"/>
      <c r="D411" s="93"/>
      <c r="E411" s="93"/>
      <c r="F411" s="505"/>
      <c r="G411" s="557"/>
      <c r="H411" s="557"/>
      <c r="I411" s="70"/>
    </row>
    <row r="412" spans="1:9" x14ac:dyDescent="0.25">
      <c r="A412" s="516" t="s">
        <v>6959</v>
      </c>
      <c r="B412" s="388"/>
      <c r="C412" s="93">
        <f>-(60102.7/1000)</f>
        <v>-60.102699999999999</v>
      </c>
      <c r="D412" s="93"/>
      <c r="E412" s="93">
        <v>-404</v>
      </c>
      <c r="F412" s="505"/>
      <c r="G412" s="557"/>
      <c r="H412" s="557"/>
      <c r="I412" s="70"/>
    </row>
    <row r="413" spans="1:9" hidden="1" x14ac:dyDescent="0.25">
      <c r="A413" s="516" t="s">
        <v>6960</v>
      </c>
      <c r="B413" s="388"/>
      <c r="C413" s="93"/>
      <c r="D413" s="93"/>
      <c r="E413" s="93"/>
      <c r="F413" s="505"/>
      <c r="G413" s="557"/>
      <c r="H413" s="557"/>
      <c r="I413" s="70"/>
    </row>
    <row r="414" spans="1:9" x14ac:dyDescent="0.25">
      <c r="A414" s="516" t="s">
        <v>6961</v>
      </c>
      <c r="B414" s="388"/>
      <c r="C414" s="93">
        <v>0</v>
      </c>
      <c r="D414" s="93"/>
      <c r="E414" s="93">
        <v>-12</v>
      </c>
      <c r="F414" s="505"/>
      <c r="G414" s="557"/>
      <c r="H414" s="557"/>
      <c r="I414" s="70"/>
    </row>
    <row r="415" spans="1:9" hidden="1" x14ac:dyDescent="0.25">
      <c r="A415" s="516" t="s">
        <v>6962</v>
      </c>
      <c r="B415" s="388"/>
      <c r="C415" s="93"/>
      <c r="D415" s="407"/>
      <c r="E415" s="93"/>
      <c r="F415" s="505"/>
      <c r="G415" s="557"/>
      <c r="H415" s="557"/>
      <c r="I415" s="70"/>
    </row>
    <row r="416" spans="1:9" hidden="1" x14ac:dyDescent="0.25">
      <c r="A416" s="516" t="s">
        <v>6963</v>
      </c>
      <c r="B416" s="388"/>
      <c r="C416" s="93"/>
      <c r="D416" s="407"/>
      <c r="E416" s="93"/>
      <c r="F416" s="505"/>
      <c r="G416" s="557"/>
      <c r="H416" s="557"/>
      <c r="I416" s="70"/>
    </row>
    <row r="417" spans="1:9" x14ac:dyDescent="0.25">
      <c r="A417" s="516" t="s">
        <v>6964</v>
      </c>
      <c r="B417" s="388"/>
      <c r="C417" s="93">
        <f>-(1325950.25/1000)</f>
        <v>-1325.9502500000001</v>
      </c>
      <c r="D417" s="407"/>
      <c r="E417" s="93">
        <v>0</v>
      </c>
      <c r="F417" s="505"/>
      <c r="G417" s="557"/>
      <c r="H417" s="557"/>
      <c r="I417" s="70"/>
    </row>
    <row r="418" spans="1:9" hidden="1" x14ac:dyDescent="0.25">
      <c r="A418" s="516" t="s">
        <v>6965</v>
      </c>
      <c r="B418" s="388"/>
      <c r="C418" s="93"/>
      <c r="D418" s="407"/>
      <c r="E418" s="93"/>
      <c r="F418" s="505"/>
      <c r="G418" s="557"/>
      <c r="H418" s="557"/>
      <c r="I418" s="70"/>
    </row>
    <row r="419" spans="1:9" x14ac:dyDescent="0.25">
      <c r="A419" s="511" t="s">
        <v>4503</v>
      </c>
      <c r="B419" s="519"/>
      <c r="C419" s="570">
        <f>SUM(C407:C418)</f>
        <v>-8696.2450575000003</v>
      </c>
      <c r="D419" s="571"/>
      <c r="E419" s="570">
        <f>SUM(E407:E418)</f>
        <v>-6017</v>
      </c>
      <c r="F419" s="508"/>
      <c r="G419" s="556" t="e">
        <f>ROUND((C419-#REF!),0)</f>
        <v>#REF!</v>
      </c>
      <c r="H419" s="556" t="e">
        <f>ROUND((E419-#REF!),0)</f>
        <v>#REF!</v>
      </c>
      <c r="I419" s="70"/>
    </row>
    <row r="420" spans="1:9" x14ac:dyDescent="0.25">
      <c r="A420" s="977"/>
      <c r="B420" s="977"/>
      <c r="C420" s="977"/>
      <c r="D420" s="977"/>
      <c r="E420" s="977"/>
      <c r="F420" s="977"/>
      <c r="G420" s="557"/>
      <c r="H420" s="557"/>
      <c r="I420" s="70"/>
    </row>
    <row r="421" spans="1:9" x14ac:dyDescent="0.25">
      <c r="A421" s="986" t="e">
        <f>CONCATENATE(#REF!," - DESPESAS ADMINISTRATIVAS E COMERCIAIS")</f>
        <v>#REF!</v>
      </c>
      <c r="B421" s="986"/>
      <c r="C421" s="986"/>
      <c r="D421" s="986"/>
      <c r="E421" s="986"/>
      <c r="F421" s="986"/>
      <c r="G421" s="557"/>
      <c r="H421" s="557"/>
      <c r="I421" s="70"/>
    </row>
    <row r="422" spans="1:9" ht="38.25" customHeight="1" x14ac:dyDescent="0.25">
      <c r="A422" s="966" t="s">
        <v>6966</v>
      </c>
      <c r="B422" s="966"/>
      <c r="C422" s="966"/>
      <c r="D422" s="966"/>
      <c r="E422" s="966"/>
      <c r="F422" s="966"/>
      <c r="G422" s="557"/>
      <c r="H422" s="557"/>
      <c r="I422" s="70"/>
    </row>
    <row r="423" spans="1:9" x14ac:dyDescent="0.25">
      <c r="A423" s="977"/>
      <c r="B423" s="977"/>
      <c r="C423" s="977"/>
      <c r="D423" s="977"/>
      <c r="E423" s="977"/>
      <c r="F423" s="977"/>
      <c r="G423" s="557"/>
      <c r="H423" s="557"/>
      <c r="I423" s="70"/>
    </row>
    <row r="424" spans="1:9" x14ac:dyDescent="0.25">
      <c r="A424" s="977"/>
      <c r="B424" s="977"/>
      <c r="C424" s="977"/>
      <c r="D424" s="977"/>
      <c r="E424" s="977"/>
      <c r="F424" s="977"/>
      <c r="G424" s="557"/>
      <c r="H424" s="557"/>
      <c r="I424" s="70"/>
    </row>
    <row r="425" spans="1:9" x14ac:dyDescent="0.25">
      <c r="A425" s="511" t="s">
        <v>6967</v>
      </c>
      <c r="B425" s="517"/>
      <c r="C425" s="365" t="str">
        <f>C406</f>
        <v xml:space="preserve"> Março 2025</v>
      </c>
      <c r="D425" s="518"/>
      <c r="E425" s="365" t="str">
        <f>E406</f>
        <v>Março 2024</v>
      </c>
      <c r="F425" s="503"/>
      <c r="G425" s="557"/>
      <c r="H425" s="557"/>
      <c r="I425" s="70"/>
    </row>
    <row r="426" spans="1:9" x14ac:dyDescent="0.25">
      <c r="A426" s="551" t="s">
        <v>6971</v>
      </c>
      <c r="B426" s="388"/>
      <c r="C426" s="407" t="e">
        <f>#REF!+#REF!+#REF!-C427</f>
        <v>#REF!</v>
      </c>
      <c r="D426" s="407"/>
      <c r="E426" s="375">
        <v>-59775</v>
      </c>
      <c r="F426" s="505"/>
      <c r="G426" s="557"/>
      <c r="H426" s="557"/>
      <c r="I426" s="70"/>
    </row>
    <row r="427" spans="1:9" x14ac:dyDescent="0.25">
      <c r="A427" s="552" t="s">
        <v>6968</v>
      </c>
      <c r="B427" s="388"/>
      <c r="C427" s="409">
        <v>-3611</v>
      </c>
      <c r="D427" s="409"/>
      <c r="E427" s="409">
        <v>-4699</v>
      </c>
      <c r="F427" s="505"/>
      <c r="G427" s="557"/>
      <c r="H427" s="557"/>
      <c r="I427" s="70"/>
    </row>
    <row r="428" spans="1:9" x14ac:dyDescent="0.25">
      <c r="A428" s="552" t="s">
        <v>6969</v>
      </c>
      <c r="B428" s="388"/>
      <c r="C428" s="410">
        <v>-3193.2879899999998</v>
      </c>
      <c r="D428" s="409"/>
      <c r="E428" s="410">
        <v>-3009</v>
      </c>
      <c r="F428" s="505"/>
      <c r="G428" s="561"/>
      <c r="H428" s="557"/>
      <c r="I428" s="490" t="s">
        <v>7019</v>
      </c>
    </row>
    <row r="429" spans="1:9" x14ac:dyDescent="0.25">
      <c r="A429" s="552" t="s">
        <v>6970</v>
      </c>
      <c r="B429" s="388"/>
      <c r="C429" s="410">
        <v>-6562.7120100000002</v>
      </c>
      <c r="D429" s="409"/>
      <c r="E429" s="410">
        <v>-5644</v>
      </c>
      <c r="F429" s="505"/>
      <c r="G429" s="561"/>
      <c r="H429" s="557"/>
      <c r="I429" s="490" t="s">
        <v>7020</v>
      </c>
    </row>
    <row r="430" spans="1:9" x14ac:dyDescent="0.25">
      <c r="A430" s="552" t="s">
        <v>6972</v>
      </c>
      <c r="B430" s="388"/>
      <c r="C430" s="410" t="e">
        <f>#REF!+#REF!+#REF!</f>
        <v>#REF!</v>
      </c>
      <c r="D430" s="409"/>
      <c r="E430" s="410">
        <v>-24461</v>
      </c>
      <c r="F430" s="505"/>
      <c r="G430" s="557"/>
      <c r="H430" s="557"/>
      <c r="I430" s="489"/>
    </row>
    <row r="431" spans="1:9" x14ac:dyDescent="0.25">
      <c r="A431" s="552" t="s">
        <v>6973</v>
      </c>
      <c r="B431" s="388"/>
      <c r="C431" s="375" t="e">
        <f>#REF!+#REF!</f>
        <v>#REF!</v>
      </c>
      <c r="D431" s="407"/>
      <c r="E431" s="375">
        <v>-1640</v>
      </c>
      <c r="F431" s="505"/>
      <c r="G431" s="557"/>
      <c r="H431" s="557"/>
      <c r="I431" s="489"/>
    </row>
    <row r="432" spans="1:9" x14ac:dyDescent="0.25">
      <c r="A432" s="553" t="s">
        <v>6974</v>
      </c>
      <c r="B432" s="388"/>
      <c r="C432" s="411" t="e">
        <f>#REF!+#REF!</f>
        <v>#REF!</v>
      </c>
      <c r="D432" s="407"/>
      <c r="E432" s="375">
        <v>4738</v>
      </c>
      <c r="F432" s="505"/>
      <c r="G432" s="557"/>
      <c r="H432" s="557"/>
      <c r="I432" s="489"/>
    </row>
    <row r="433" spans="1:9" x14ac:dyDescent="0.25">
      <c r="A433" s="511" t="s">
        <v>4503</v>
      </c>
      <c r="B433" s="519"/>
      <c r="C433" s="570" t="e">
        <f>SUM(C426:C432)</f>
        <v>#REF!</v>
      </c>
      <c r="D433" s="571"/>
      <c r="E433" s="570">
        <f>SUM(E426:E432)+1</f>
        <v>-94489</v>
      </c>
      <c r="F433" s="508"/>
      <c r="G433" s="556" t="e">
        <f>C433-#REF!</f>
        <v>#REF!</v>
      </c>
      <c r="H433" s="556" t="e">
        <f>E433-#REF!</f>
        <v>#REF!</v>
      </c>
      <c r="I433" s="489"/>
    </row>
    <row r="434" spans="1:9" x14ac:dyDescent="0.25">
      <c r="A434" s="977"/>
      <c r="B434" s="977"/>
      <c r="C434" s="977"/>
      <c r="D434" s="977"/>
      <c r="E434" s="977"/>
      <c r="F434" s="977"/>
      <c r="G434" s="557"/>
      <c r="H434" s="557"/>
      <c r="I434" s="489"/>
    </row>
    <row r="435" spans="1:9" x14ac:dyDescent="0.25">
      <c r="A435" s="986" t="e">
        <f>CONCATENATE(#REF!," - RECEITAS / DESPESAS FINANCEIRAS (RESULTADO FINANCEIRO)")</f>
        <v>#REF!</v>
      </c>
      <c r="B435" s="986"/>
      <c r="C435" s="986"/>
      <c r="D435" s="986"/>
      <c r="E435" s="986"/>
      <c r="F435" s="986"/>
      <c r="G435" s="557"/>
      <c r="H435" s="557"/>
      <c r="I435" s="70"/>
    </row>
    <row r="436" spans="1:9" ht="42" customHeight="1" x14ac:dyDescent="0.25">
      <c r="A436" s="966" t="s">
        <v>6984</v>
      </c>
      <c r="B436" s="966"/>
      <c r="C436" s="966"/>
      <c r="D436" s="966"/>
      <c r="E436" s="966"/>
      <c r="F436" s="966"/>
      <c r="G436" s="557"/>
      <c r="H436" s="557"/>
      <c r="I436" s="489"/>
    </row>
    <row r="437" spans="1:9" x14ac:dyDescent="0.25">
      <c r="A437" s="977"/>
      <c r="B437" s="977"/>
      <c r="C437" s="977"/>
      <c r="D437" s="977"/>
      <c r="E437" s="977"/>
      <c r="F437" s="977"/>
      <c r="G437" s="557"/>
      <c r="H437" s="557"/>
      <c r="I437" s="489"/>
    </row>
    <row r="438" spans="1:9" x14ac:dyDescent="0.25">
      <c r="A438" s="511" t="s">
        <v>6975</v>
      </c>
      <c r="B438" s="517"/>
      <c r="C438" s="365" t="str">
        <f>C425</f>
        <v xml:space="preserve"> Março 2025</v>
      </c>
      <c r="D438" s="518"/>
      <c r="E438" s="365" t="str">
        <f>E425</f>
        <v>Março 2024</v>
      </c>
      <c r="F438" s="503"/>
      <c r="G438" s="557"/>
      <c r="H438" s="557"/>
      <c r="I438" s="70"/>
    </row>
    <row r="439" spans="1:9" x14ac:dyDescent="0.25">
      <c r="A439" s="512" t="s">
        <v>6976</v>
      </c>
      <c r="B439" s="372"/>
      <c r="C439" s="367" t="s">
        <v>6977</v>
      </c>
      <c r="D439" s="367"/>
      <c r="E439" s="367" t="s">
        <v>6977</v>
      </c>
      <c r="F439" s="505"/>
      <c r="G439" s="557"/>
      <c r="H439" s="557"/>
      <c r="I439" s="70"/>
    </row>
    <row r="440" spans="1:9" x14ac:dyDescent="0.25">
      <c r="A440" s="516" t="s">
        <v>6978</v>
      </c>
      <c r="B440" s="372"/>
      <c r="C440" s="413">
        <v>33.49</v>
      </c>
      <c r="D440" s="367"/>
      <c r="E440" s="413">
        <v>55</v>
      </c>
      <c r="F440" s="505"/>
      <c r="G440" s="557"/>
      <c r="H440" s="557"/>
      <c r="I440" s="70"/>
    </row>
    <row r="441" spans="1:9" hidden="1" x14ac:dyDescent="0.25">
      <c r="A441" s="516" t="s">
        <v>6979</v>
      </c>
      <c r="B441" s="372"/>
      <c r="C441" s="413"/>
      <c r="D441" s="367"/>
      <c r="E441" s="413">
        <v>0</v>
      </c>
      <c r="F441" s="505"/>
      <c r="G441" s="557"/>
      <c r="H441" s="557"/>
      <c r="I441" s="70"/>
    </row>
    <row r="442" spans="1:9" x14ac:dyDescent="0.25">
      <c r="A442" s="554" t="s">
        <v>6980</v>
      </c>
      <c r="B442" s="372"/>
      <c r="C442" s="414">
        <f>SUM(C440:C441)</f>
        <v>33.49</v>
      </c>
      <c r="D442" s="367"/>
      <c r="E442" s="414">
        <f>SUM(E440:E441)</f>
        <v>55</v>
      </c>
      <c r="F442" s="505"/>
      <c r="G442" s="557"/>
      <c r="H442" s="557"/>
      <c r="I442" s="70"/>
    </row>
    <row r="443" spans="1:9" x14ac:dyDescent="0.25">
      <c r="A443" s="512" t="s">
        <v>6981</v>
      </c>
      <c r="B443" s="372"/>
      <c r="C443" s="367"/>
      <c r="D443" s="367"/>
      <c r="E443" s="367"/>
      <c r="F443" s="505"/>
      <c r="G443" s="557"/>
      <c r="H443" s="557"/>
      <c r="I443" s="70"/>
    </row>
    <row r="444" spans="1:9" hidden="1" x14ac:dyDescent="0.25">
      <c r="A444" s="516" t="s">
        <v>6978</v>
      </c>
      <c r="B444" s="372"/>
      <c r="C444" s="413">
        <v>0</v>
      </c>
      <c r="D444" s="93"/>
      <c r="E444" s="413">
        <v>0</v>
      </c>
      <c r="F444" s="505"/>
      <c r="G444" s="557"/>
      <c r="H444" s="557"/>
      <c r="I444" s="70"/>
    </row>
    <row r="445" spans="1:9" x14ac:dyDescent="0.25">
      <c r="A445" s="516" t="s">
        <v>6979</v>
      </c>
      <c r="B445" s="372"/>
      <c r="C445" s="413">
        <v>-364.49</v>
      </c>
      <c r="D445" s="93"/>
      <c r="E445" s="413">
        <v>-462</v>
      </c>
      <c r="F445" s="505"/>
      <c r="G445" s="557"/>
      <c r="H445" s="557"/>
      <c r="I445" s="70"/>
    </row>
    <row r="446" spans="1:9" x14ac:dyDescent="0.25">
      <c r="A446" s="554" t="s">
        <v>6982</v>
      </c>
      <c r="B446" s="372"/>
      <c r="C446" s="415">
        <f>SUM(C444:C445)</f>
        <v>-364.49</v>
      </c>
      <c r="D446" s="367"/>
      <c r="E446" s="415">
        <f>SUM(E444:E445)</f>
        <v>-462</v>
      </c>
      <c r="F446" s="505"/>
      <c r="G446" s="557"/>
      <c r="H446" s="557"/>
      <c r="I446" s="70"/>
    </row>
    <row r="447" spans="1:9" x14ac:dyDescent="0.25">
      <c r="A447" s="516"/>
      <c r="B447" s="372"/>
      <c r="C447" s="93"/>
      <c r="D447" s="93"/>
      <c r="E447" s="93"/>
      <c r="F447" s="505"/>
      <c r="G447" s="557"/>
      <c r="H447" s="557"/>
      <c r="I447" s="70"/>
    </row>
    <row r="448" spans="1:9" x14ac:dyDescent="0.25">
      <c r="A448" s="511" t="s">
        <v>6983</v>
      </c>
      <c r="B448" s="519"/>
      <c r="C448" s="570">
        <f>C442+C446</f>
        <v>-331</v>
      </c>
      <c r="D448" s="571"/>
      <c r="E448" s="570">
        <f>E442+E446</f>
        <v>-407</v>
      </c>
      <c r="F448" s="508"/>
      <c r="G448" s="556" t="e">
        <f>C448-#REF!</f>
        <v>#REF!</v>
      </c>
      <c r="H448" s="556" t="e">
        <f>E448-#REF!</f>
        <v>#REF!</v>
      </c>
      <c r="I448" s="70"/>
    </row>
    <row r="449" spans="1:9" x14ac:dyDescent="0.25">
      <c r="A449" s="977"/>
      <c r="B449" s="977"/>
      <c r="C449" s="977"/>
      <c r="D449" s="977"/>
      <c r="E449" s="977"/>
      <c r="F449" s="977"/>
      <c r="G449" s="70"/>
      <c r="H449" s="70"/>
      <c r="I449" s="70"/>
    </row>
    <row r="450" spans="1:9" x14ac:dyDescent="0.25">
      <c r="A450" s="986" t="e">
        <f>CONCATENATE(#REF!+1," - BENEFÍCIO PÓS EMPREGO")</f>
        <v>#REF!</v>
      </c>
      <c r="B450" s="986"/>
      <c r="C450" s="986"/>
      <c r="D450" s="986"/>
      <c r="E450" s="986"/>
      <c r="F450" s="986"/>
      <c r="G450" s="70"/>
      <c r="H450" s="70"/>
      <c r="I450" s="70"/>
    </row>
    <row r="451" spans="1:9" ht="97.5" customHeight="1" x14ac:dyDescent="0.25">
      <c r="A451" s="966" t="s">
        <v>6985</v>
      </c>
      <c r="B451" s="966"/>
      <c r="C451" s="966"/>
      <c r="D451" s="966"/>
      <c r="E451" s="966"/>
      <c r="F451" s="966"/>
      <c r="G451" s="70"/>
      <c r="H451" s="70"/>
      <c r="I451" s="70"/>
    </row>
    <row r="452" spans="1:9" x14ac:dyDescent="0.2">
      <c r="A452" s="966"/>
      <c r="B452" s="966"/>
      <c r="C452" s="966"/>
      <c r="D452" s="966"/>
      <c r="E452" s="966"/>
      <c r="F452" s="966"/>
      <c r="G452" s="484"/>
      <c r="H452" s="484"/>
      <c r="I452" s="484"/>
    </row>
    <row r="453" spans="1:9" ht="71.25" customHeight="1" x14ac:dyDescent="0.25">
      <c r="A453" s="966" t="s">
        <v>6986</v>
      </c>
      <c r="B453" s="966"/>
      <c r="C453" s="966"/>
      <c r="D453" s="966"/>
      <c r="E453" s="966"/>
      <c r="F453" s="966"/>
      <c r="G453" s="70"/>
      <c r="H453" s="70"/>
      <c r="I453" s="70"/>
    </row>
    <row r="454" spans="1:9" ht="64.5" customHeight="1" x14ac:dyDescent="0.25">
      <c r="A454" s="966" t="s">
        <v>6987</v>
      </c>
      <c r="B454" s="966"/>
      <c r="C454" s="966"/>
      <c r="D454" s="966"/>
      <c r="E454" s="966"/>
      <c r="F454" s="966"/>
      <c r="G454" s="70"/>
      <c r="H454" s="70"/>
      <c r="I454" s="70"/>
    </row>
    <row r="455" spans="1:9" x14ac:dyDescent="0.25">
      <c r="A455" s="966"/>
      <c r="B455" s="966"/>
      <c r="C455" s="966"/>
      <c r="D455" s="966"/>
      <c r="E455" s="966"/>
      <c r="F455" s="966"/>
      <c r="G455" s="70"/>
      <c r="H455" s="70"/>
      <c r="I455" s="70"/>
    </row>
    <row r="456" spans="1:9" ht="35.25" customHeight="1" x14ac:dyDescent="0.25">
      <c r="A456" s="966" t="s">
        <v>6988</v>
      </c>
      <c r="B456" s="966"/>
      <c r="C456" s="966"/>
      <c r="D456" s="966"/>
      <c r="E456" s="966"/>
      <c r="F456" s="966"/>
      <c r="G456" s="70"/>
      <c r="H456" s="70"/>
      <c r="I456" s="70"/>
    </row>
    <row r="457" spans="1:9" x14ac:dyDescent="0.25">
      <c r="A457" s="966"/>
      <c r="B457" s="966"/>
      <c r="C457" s="966"/>
      <c r="D457" s="966"/>
      <c r="E457" s="966"/>
      <c r="F457" s="966"/>
      <c r="G457" s="70"/>
      <c r="H457" s="70"/>
      <c r="I457" s="70"/>
    </row>
    <row r="458" spans="1:9" x14ac:dyDescent="0.25">
      <c r="A458" s="965" t="e">
        <f>CONCATENATE(#REF!+1,".1 - PLANOS DE BENEFÍCIOS")</f>
        <v>#REF!</v>
      </c>
      <c r="B458" s="965"/>
      <c r="C458" s="965"/>
      <c r="D458" s="965"/>
      <c r="E458" s="965"/>
      <c r="F458" s="965"/>
      <c r="G458" s="70"/>
      <c r="H458" s="70"/>
      <c r="I458" s="70"/>
    </row>
    <row r="459" spans="1:9" x14ac:dyDescent="0.25">
      <c r="A459" s="966" t="s">
        <v>6989</v>
      </c>
      <c r="B459" s="966"/>
      <c r="C459" s="966"/>
      <c r="D459" s="966"/>
      <c r="E459" s="966"/>
      <c r="F459" s="966"/>
      <c r="G459" s="70"/>
      <c r="H459" s="70"/>
      <c r="I459" s="70"/>
    </row>
    <row r="460" spans="1:9" x14ac:dyDescent="0.25">
      <c r="A460" s="966"/>
      <c r="B460" s="966"/>
      <c r="C460" s="966"/>
      <c r="D460" s="966"/>
      <c r="E460" s="966"/>
      <c r="F460" s="966"/>
      <c r="G460" s="70"/>
      <c r="H460" s="70"/>
      <c r="I460" s="70"/>
    </row>
    <row r="461" spans="1:9" x14ac:dyDescent="0.25">
      <c r="A461" s="965" t="e">
        <f>CONCATENATE(#REF!+1,".1.1 - PLANO BÁSICO DE BENEFÍCIOS - PBB ('PLANO BD-PBB' OU 'PBB')")</f>
        <v>#REF!</v>
      </c>
      <c r="B461" s="965"/>
      <c r="C461" s="965"/>
      <c r="D461" s="965"/>
      <c r="E461" s="965"/>
      <c r="F461" s="965"/>
      <c r="G461" s="70"/>
      <c r="H461" s="70"/>
      <c r="I461" s="70"/>
    </row>
    <row r="462" spans="1:9" ht="38.25" customHeight="1" x14ac:dyDescent="0.25">
      <c r="A462" s="966" t="s">
        <v>6990</v>
      </c>
      <c r="B462" s="966"/>
      <c r="C462" s="966"/>
      <c r="D462" s="966"/>
      <c r="E462" s="966"/>
      <c r="F462" s="966"/>
      <c r="G462" s="70"/>
      <c r="H462" s="70"/>
      <c r="I462" s="70"/>
    </row>
    <row r="463" spans="1:9" ht="51.75" customHeight="1" x14ac:dyDescent="0.25">
      <c r="A463" s="966" t="s">
        <v>6991</v>
      </c>
      <c r="B463" s="966"/>
      <c r="C463" s="966"/>
      <c r="D463" s="966"/>
      <c r="E463" s="966"/>
      <c r="F463" s="966"/>
      <c r="G463" s="70"/>
      <c r="H463" s="70"/>
      <c r="I463" s="70"/>
    </row>
    <row r="464" spans="1:9" x14ac:dyDescent="0.25">
      <c r="A464" s="966"/>
      <c r="B464" s="966"/>
      <c r="C464" s="966"/>
      <c r="D464" s="966"/>
      <c r="E464" s="966"/>
      <c r="F464" s="966"/>
      <c r="G464" s="70"/>
      <c r="H464" s="70"/>
      <c r="I464" s="70"/>
    </row>
    <row r="465" spans="1:23" ht="83.25" customHeight="1" x14ac:dyDescent="0.25">
      <c r="A465" s="966" t="s">
        <v>6992</v>
      </c>
      <c r="B465" s="966"/>
      <c r="C465" s="966"/>
      <c r="D465" s="966"/>
      <c r="E465" s="966"/>
      <c r="F465" s="966"/>
      <c r="G465" s="70"/>
      <c r="H465" s="70"/>
      <c r="I465" s="70"/>
    </row>
    <row r="466" spans="1:23" x14ac:dyDescent="0.25">
      <c r="A466" s="966"/>
      <c r="B466" s="966"/>
      <c r="C466" s="966"/>
      <c r="D466" s="966"/>
      <c r="E466" s="966"/>
      <c r="F466" s="966"/>
      <c r="G466" s="70"/>
      <c r="H466" s="70"/>
      <c r="I466" s="70"/>
    </row>
    <row r="467" spans="1:23" ht="54" customHeight="1" x14ac:dyDescent="0.25">
      <c r="A467" s="966" t="s">
        <v>6993</v>
      </c>
      <c r="B467" s="966"/>
      <c r="C467" s="966"/>
      <c r="D467" s="966"/>
      <c r="E467" s="966"/>
      <c r="F467" s="966"/>
      <c r="G467" s="70"/>
      <c r="H467" s="70"/>
      <c r="I467" s="70"/>
    </row>
    <row r="468" spans="1:23" x14ac:dyDescent="0.25">
      <c r="A468" s="966"/>
      <c r="B468" s="966"/>
      <c r="C468" s="966"/>
      <c r="D468" s="966"/>
      <c r="E468" s="966"/>
      <c r="F468" s="966"/>
      <c r="G468" s="70"/>
      <c r="H468" s="70"/>
      <c r="I468" s="70"/>
    </row>
    <row r="469" spans="1:23" ht="18" customHeight="1" x14ac:dyDescent="0.25">
      <c r="A469" s="966" t="s">
        <v>6994</v>
      </c>
      <c r="B469" s="966"/>
      <c r="C469" s="966"/>
      <c r="D469" s="966"/>
      <c r="E469" s="966"/>
      <c r="F469" s="966"/>
      <c r="G469" s="70"/>
      <c r="H469" s="70"/>
      <c r="I469" s="70"/>
    </row>
    <row r="470" spans="1:23" x14ac:dyDescent="0.25">
      <c r="A470" s="966"/>
      <c r="B470" s="966"/>
      <c r="C470" s="966"/>
      <c r="D470" s="966"/>
      <c r="E470" s="966"/>
      <c r="F470" s="966"/>
      <c r="G470" s="70"/>
      <c r="H470" s="70"/>
      <c r="I470" s="70"/>
    </row>
    <row r="471" spans="1:23" x14ac:dyDescent="0.25">
      <c r="A471" s="966"/>
      <c r="B471" s="966"/>
      <c r="C471" s="966"/>
      <c r="D471" s="966"/>
      <c r="E471" s="966"/>
      <c r="F471" s="966"/>
      <c r="G471" s="70"/>
      <c r="H471" s="70"/>
      <c r="I471" s="70"/>
      <c r="O471" s="371" t="s">
        <v>6995</v>
      </c>
      <c r="P471" s="380"/>
      <c r="Q471" s="1002" t="s">
        <v>7000</v>
      </c>
      <c r="R471" s="1002"/>
      <c r="S471" s="1002"/>
      <c r="T471" s="378"/>
      <c r="U471" s="1002" t="s">
        <v>6996</v>
      </c>
      <c r="V471" s="1002"/>
      <c r="W471" s="1002"/>
    </row>
    <row r="472" spans="1:23" x14ac:dyDescent="0.25">
      <c r="A472" s="966"/>
      <c r="B472" s="966"/>
      <c r="C472" s="966"/>
      <c r="D472" s="966"/>
      <c r="E472" s="966"/>
      <c r="F472" s="966"/>
      <c r="G472" s="70"/>
      <c r="H472" s="70"/>
      <c r="I472" s="70"/>
      <c r="O472" s="381"/>
      <c r="P472" s="380"/>
      <c r="Q472" s="417" t="str">
        <f>C438</f>
        <v xml:space="preserve"> Março 2025</v>
      </c>
      <c r="R472" s="381"/>
      <c r="S472" s="417" t="str">
        <f>E438</f>
        <v>Março 2024</v>
      </c>
      <c r="T472" s="382"/>
      <c r="U472" s="418" t="str">
        <f>Q472</f>
        <v xml:space="preserve"> Março 2025</v>
      </c>
      <c r="V472" s="381"/>
      <c r="W472" s="417" t="str">
        <f>S472</f>
        <v>Março 2024</v>
      </c>
    </row>
    <row r="473" spans="1:23" x14ac:dyDescent="0.25">
      <c r="A473" s="966"/>
      <c r="B473" s="966"/>
      <c r="C473" s="966"/>
      <c r="D473" s="966"/>
      <c r="E473" s="966"/>
      <c r="F473" s="966"/>
      <c r="G473" s="70"/>
      <c r="H473" s="70"/>
      <c r="I473" s="70"/>
      <c r="O473" s="91" t="s">
        <v>6828</v>
      </c>
      <c r="P473" s="380"/>
      <c r="Q473" s="376">
        <v>2578</v>
      </c>
      <c r="R473" s="91"/>
      <c r="S473" s="376">
        <v>2686</v>
      </c>
      <c r="T473" s="378"/>
      <c r="U473" s="376">
        <v>538</v>
      </c>
      <c r="V473" s="91"/>
      <c r="W473" s="376">
        <v>546</v>
      </c>
    </row>
    <row r="474" spans="1:23" x14ac:dyDescent="0.25">
      <c r="A474" s="966"/>
      <c r="B474" s="966"/>
      <c r="C474" s="966"/>
      <c r="D474" s="966"/>
      <c r="E474" s="966"/>
      <c r="F474" s="966"/>
      <c r="G474" s="70"/>
      <c r="H474" s="70"/>
      <c r="I474" s="70"/>
      <c r="O474" s="91" t="s">
        <v>6997</v>
      </c>
      <c r="P474" s="380"/>
      <c r="Q474" s="376">
        <v>1607</v>
      </c>
      <c r="R474" s="91"/>
      <c r="S474" s="376">
        <v>1542</v>
      </c>
      <c r="T474" s="378"/>
      <c r="U474" s="376">
        <v>391</v>
      </c>
      <c r="V474" s="91"/>
      <c r="W474" s="376">
        <v>391</v>
      </c>
    </row>
    <row r="475" spans="1:23" x14ac:dyDescent="0.25">
      <c r="A475" s="966"/>
      <c r="B475" s="966"/>
      <c r="C475" s="966"/>
      <c r="D475" s="966"/>
      <c r="E475" s="966"/>
      <c r="F475" s="966"/>
      <c r="G475" s="70"/>
      <c r="H475" s="70"/>
      <c r="I475" s="70"/>
      <c r="O475" s="91" t="s">
        <v>6998</v>
      </c>
      <c r="P475" s="380"/>
      <c r="Q475" s="376">
        <v>435</v>
      </c>
      <c r="R475" s="91"/>
      <c r="S475" s="376">
        <v>427</v>
      </c>
      <c r="T475" s="378"/>
      <c r="U475" s="376">
        <v>70</v>
      </c>
      <c r="V475" s="91"/>
      <c r="W475" s="376">
        <v>66</v>
      </c>
    </row>
    <row r="476" spans="1:23" x14ac:dyDescent="0.25">
      <c r="A476" s="966"/>
      <c r="B476" s="966"/>
      <c r="C476" s="966"/>
      <c r="D476" s="966"/>
      <c r="E476" s="966"/>
      <c r="F476" s="966"/>
      <c r="G476" s="70"/>
      <c r="H476" s="70"/>
      <c r="I476" s="70"/>
      <c r="O476" s="373" t="s">
        <v>4503</v>
      </c>
      <c r="P476" s="380"/>
      <c r="Q476" s="383">
        <f>SUM(Q473:Q475)</f>
        <v>4620</v>
      </c>
      <c r="R476" s="384"/>
      <c r="S476" s="383">
        <f>SUM(S473:S475)</f>
        <v>4655</v>
      </c>
      <c r="T476" s="378"/>
      <c r="U476" s="383">
        <f>SUM(U473:U475)</f>
        <v>999</v>
      </c>
      <c r="V476" s="384"/>
      <c r="W476" s="383">
        <f>SUM(W473:W475)</f>
        <v>1003</v>
      </c>
    </row>
    <row r="477" spans="1:23" x14ac:dyDescent="0.25">
      <c r="A477" s="966"/>
      <c r="B477" s="966"/>
      <c r="C477" s="966"/>
      <c r="D477" s="966"/>
      <c r="E477" s="966"/>
      <c r="F477" s="966"/>
      <c r="G477" s="70"/>
      <c r="H477" s="70"/>
      <c r="I477" s="70"/>
      <c r="O477" s="416" t="s">
        <v>6999</v>
      </c>
      <c r="P477" s="378"/>
      <c r="Q477" s="378"/>
      <c r="R477" s="378"/>
      <c r="S477" s="378"/>
      <c r="T477" s="378"/>
      <c r="U477" s="378"/>
      <c r="V477" s="378"/>
      <c r="W477" s="378"/>
    </row>
    <row r="478" spans="1:23" x14ac:dyDescent="0.25">
      <c r="A478" s="966"/>
      <c r="B478" s="966"/>
      <c r="C478" s="966"/>
      <c r="D478" s="966"/>
      <c r="E478" s="966"/>
      <c r="F478" s="966"/>
      <c r="G478" s="70"/>
      <c r="H478" s="70"/>
      <c r="I478" s="70"/>
    </row>
    <row r="479" spans="1:23" x14ac:dyDescent="0.25">
      <c r="A479" s="965" t="e">
        <f>CONCATENATE(#REF!+1,".1.2 - PLANO CD-NUCLEP ('CD-NUCLEP')")</f>
        <v>#REF!</v>
      </c>
      <c r="B479" s="965"/>
      <c r="C479" s="965"/>
      <c r="D479" s="965"/>
      <c r="E479" s="965"/>
      <c r="F479" s="965"/>
      <c r="G479" s="70"/>
      <c r="H479" s="70"/>
      <c r="I479" s="70"/>
    </row>
    <row r="480" spans="1:23" ht="38.25" customHeight="1" x14ac:dyDescent="0.25">
      <c r="A480" s="966" t="s">
        <v>7001</v>
      </c>
      <c r="B480" s="966"/>
      <c r="C480" s="966"/>
      <c r="D480" s="966"/>
      <c r="E480" s="966"/>
      <c r="F480" s="966"/>
      <c r="G480" s="70"/>
      <c r="H480" s="70"/>
      <c r="I480" s="70"/>
    </row>
    <row r="481" spans="1:45" x14ac:dyDescent="0.25">
      <c r="A481" s="966"/>
      <c r="B481" s="966"/>
      <c r="C481" s="966"/>
      <c r="D481" s="966"/>
      <c r="E481" s="966"/>
      <c r="F481" s="966"/>
      <c r="G481" s="70"/>
      <c r="H481" s="70"/>
      <c r="I481" s="70"/>
    </row>
    <row r="482" spans="1:45" ht="34.5" customHeight="1" x14ac:dyDescent="0.25">
      <c r="A482" s="966" t="s">
        <v>7002</v>
      </c>
      <c r="B482" s="966"/>
      <c r="C482" s="966"/>
      <c r="D482" s="966"/>
      <c r="E482" s="966"/>
      <c r="F482" s="966"/>
      <c r="G482" s="70"/>
      <c r="H482" s="70"/>
      <c r="I482" s="70"/>
    </row>
    <row r="483" spans="1:45" x14ac:dyDescent="0.25">
      <c r="A483" s="966"/>
      <c r="B483" s="966"/>
      <c r="C483" s="966"/>
      <c r="D483" s="966"/>
      <c r="E483" s="966"/>
      <c r="F483" s="966"/>
      <c r="G483" s="70"/>
      <c r="H483" s="70"/>
      <c r="I483" s="70"/>
    </row>
    <row r="484" spans="1:45" ht="83.25" customHeight="1" x14ac:dyDescent="0.25">
      <c r="A484" s="966" t="s">
        <v>7003</v>
      </c>
      <c r="B484" s="966"/>
      <c r="C484" s="966"/>
      <c r="D484" s="966"/>
      <c r="E484" s="966"/>
      <c r="F484" s="966"/>
      <c r="G484" s="70"/>
      <c r="H484" s="70"/>
      <c r="I484" s="70"/>
    </row>
    <row r="485" spans="1:45" x14ac:dyDescent="0.25">
      <c r="A485" s="966"/>
      <c r="B485" s="966"/>
      <c r="C485" s="966"/>
      <c r="D485" s="966"/>
      <c r="E485" s="966"/>
      <c r="F485" s="966"/>
      <c r="G485" s="70"/>
      <c r="H485" s="70"/>
      <c r="I485" s="70"/>
    </row>
    <row r="486" spans="1:45" x14ac:dyDescent="0.25">
      <c r="A486" s="1005" t="s">
        <v>7094</v>
      </c>
      <c r="B486" s="1005"/>
      <c r="C486" s="1005"/>
      <c r="D486" s="1005"/>
      <c r="E486" s="1005"/>
      <c r="F486" s="1005"/>
      <c r="G486" s="70"/>
      <c r="H486" s="70"/>
      <c r="I486" s="70"/>
    </row>
    <row r="487" spans="1:45" x14ac:dyDescent="0.25">
      <c r="A487" s="966"/>
      <c r="B487" s="966"/>
      <c r="C487" s="966"/>
      <c r="D487" s="966"/>
      <c r="E487" s="966"/>
      <c r="F487" s="966"/>
      <c r="G487" s="70"/>
      <c r="H487" s="70"/>
      <c r="I487" s="70"/>
    </row>
    <row r="488" spans="1:45" x14ac:dyDescent="0.25">
      <c r="A488" s="965" t="e">
        <f>CONCATENATE(#REF!+2," - COBERTURA DE SEGUROS")</f>
        <v>#REF!</v>
      </c>
      <c r="B488" s="965"/>
      <c r="C488" s="965"/>
      <c r="D488" s="965"/>
      <c r="E488" s="965"/>
      <c r="F488" s="965"/>
      <c r="G488" s="70"/>
      <c r="H488" s="70"/>
      <c r="I488" s="70"/>
    </row>
    <row r="489" spans="1:45" ht="39" customHeight="1" x14ac:dyDescent="0.25">
      <c r="A489" s="966" t="s">
        <v>7040</v>
      </c>
      <c r="B489" s="966"/>
      <c r="C489" s="966"/>
      <c r="D489" s="966"/>
      <c r="E489" s="966"/>
      <c r="F489" s="966"/>
      <c r="G489" s="70"/>
      <c r="H489" s="70"/>
      <c r="I489" s="70"/>
    </row>
    <row r="490" spans="1:45" x14ac:dyDescent="0.25">
      <c r="A490" s="966"/>
      <c r="B490" s="966"/>
      <c r="C490" s="966"/>
      <c r="D490" s="966"/>
      <c r="E490" s="966"/>
      <c r="F490" s="966"/>
      <c r="G490" s="70"/>
      <c r="H490" s="70"/>
      <c r="I490" s="70"/>
    </row>
    <row r="491" spans="1:45" x14ac:dyDescent="0.25">
      <c r="A491" s="966"/>
      <c r="B491" s="966"/>
      <c r="C491" s="966"/>
      <c r="D491" s="966"/>
      <c r="E491" s="966"/>
      <c r="F491" s="966"/>
      <c r="G491" s="70"/>
      <c r="H491" s="70"/>
      <c r="I491" s="70"/>
      <c r="AK491" s="627" t="s">
        <v>7041</v>
      </c>
      <c r="AL491" s="70"/>
      <c r="AM491" s="1004" t="s">
        <v>7042</v>
      </c>
      <c r="AN491" s="1004"/>
      <c r="AO491" s="1004"/>
      <c r="AP491" s="1004"/>
      <c r="AQ491" s="1004"/>
      <c r="AR491" s="70"/>
      <c r="AS491" s="631" t="s">
        <v>7102</v>
      </c>
    </row>
    <row r="492" spans="1:45" x14ac:dyDescent="0.25">
      <c r="A492" s="966"/>
      <c r="B492" s="966"/>
      <c r="C492" s="966"/>
      <c r="D492" s="966"/>
      <c r="E492" s="966"/>
      <c r="F492" s="966"/>
      <c r="G492" s="70"/>
      <c r="H492" s="70"/>
      <c r="I492" s="70"/>
      <c r="AK492" s="402" t="s">
        <v>7043</v>
      </c>
      <c r="AL492" s="76"/>
      <c r="AM492" s="402" t="s">
        <v>7044</v>
      </c>
      <c r="AN492" s="402"/>
      <c r="AO492" s="402"/>
      <c r="AP492" s="402"/>
      <c r="AQ492" s="402"/>
      <c r="AR492" s="76"/>
      <c r="AS492" s="628">
        <v>177168658.75</v>
      </c>
    </row>
    <row r="493" spans="1:45" x14ac:dyDescent="0.25">
      <c r="A493" s="966"/>
      <c r="B493" s="966"/>
      <c r="C493" s="966"/>
      <c r="D493" s="966"/>
      <c r="E493" s="966"/>
      <c r="F493" s="966"/>
      <c r="G493" s="70"/>
      <c r="H493" s="70"/>
      <c r="I493" s="70"/>
      <c r="AK493" s="402" t="s">
        <v>7045</v>
      </c>
      <c r="AL493" s="76"/>
      <c r="AM493" s="972" t="s">
        <v>7046</v>
      </c>
      <c r="AN493" s="972"/>
      <c r="AO493" s="972"/>
      <c r="AP493" s="972"/>
      <c r="AQ493" s="972"/>
      <c r="AR493" s="76"/>
      <c r="AS493" s="628">
        <v>10000000</v>
      </c>
    </row>
    <row r="494" spans="1:45" x14ac:dyDescent="0.25">
      <c r="A494" s="966"/>
      <c r="B494" s="966"/>
      <c r="C494" s="966"/>
      <c r="D494" s="966"/>
      <c r="E494" s="966"/>
      <c r="F494" s="966"/>
      <c r="G494" s="70"/>
      <c r="H494" s="70"/>
      <c r="I494" s="70"/>
      <c r="AK494" s="402" t="s">
        <v>7047</v>
      </c>
      <c r="AL494" s="76"/>
      <c r="AM494" s="972" t="s">
        <v>7048</v>
      </c>
      <c r="AN494" s="972"/>
      <c r="AO494" s="972"/>
      <c r="AP494" s="972"/>
      <c r="AQ494" s="972"/>
      <c r="AR494" s="76"/>
      <c r="AS494" s="629" t="s">
        <v>7049</v>
      </c>
    </row>
    <row r="495" spans="1:45" x14ac:dyDescent="0.25">
      <c r="A495" s="966"/>
      <c r="B495" s="966"/>
      <c r="C495" s="966"/>
      <c r="D495" s="966"/>
      <c r="E495" s="966"/>
      <c r="F495" s="966"/>
      <c r="G495" s="70"/>
      <c r="H495" s="70"/>
      <c r="I495" s="70"/>
      <c r="AK495" s="402" t="s">
        <v>7050</v>
      </c>
      <c r="AL495" s="76"/>
      <c r="AM495" s="972" t="s">
        <v>7051</v>
      </c>
      <c r="AN495" s="972"/>
      <c r="AO495" s="972"/>
      <c r="AP495" s="972"/>
      <c r="AQ495" s="972"/>
      <c r="AR495" s="76"/>
      <c r="AS495" s="628">
        <v>2000000</v>
      </c>
    </row>
    <row r="496" spans="1:45" x14ac:dyDescent="0.25">
      <c r="A496" s="966"/>
      <c r="B496" s="966"/>
      <c r="C496" s="966"/>
      <c r="D496" s="966"/>
      <c r="E496" s="966"/>
      <c r="F496" s="966"/>
      <c r="G496" s="70"/>
      <c r="H496" s="70"/>
      <c r="I496" s="70"/>
      <c r="AK496" s="402" t="s">
        <v>7052</v>
      </c>
      <c r="AL496" s="76"/>
      <c r="AM496" s="972" t="s">
        <v>7044</v>
      </c>
      <c r="AN496" s="972"/>
      <c r="AO496" s="972"/>
      <c r="AP496" s="972"/>
      <c r="AQ496" s="972"/>
      <c r="AR496" s="76"/>
      <c r="AS496" s="628">
        <v>1708000</v>
      </c>
    </row>
    <row r="497" spans="1:45" x14ac:dyDescent="0.25">
      <c r="A497" s="966"/>
      <c r="B497" s="966"/>
      <c r="C497" s="966"/>
      <c r="D497" s="966"/>
      <c r="E497" s="966"/>
      <c r="F497" s="966"/>
      <c r="G497" s="70"/>
      <c r="H497" s="70"/>
      <c r="I497" s="70"/>
      <c r="AK497" s="402" t="s">
        <v>7053</v>
      </c>
      <c r="AL497" s="76"/>
      <c r="AM497" s="973" t="s">
        <v>7054</v>
      </c>
      <c r="AN497" s="973"/>
      <c r="AO497" s="973"/>
      <c r="AP497" s="973"/>
      <c r="AQ497" s="973"/>
      <c r="AR497" s="76"/>
      <c r="AS497" s="628">
        <v>13100000</v>
      </c>
    </row>
    <row r="498" spans="1:45" x14ac:dyDescent="0.25">
      <c r="A498" s="966"/>
      <c r="B498" s="966"/>
      <c r="C498" s="966"/>
      <c r="D498" s="966"/>
      <c r="E498" s="966"/>
      <c r="F498" s="966"/>
      <c r="G498" s="70"/>
      <c r="H498" s="70"/>
      <c r="I498" s="70"/>
      <c r="AK498" s="385" t="s">
        <v>7055</v>
      </c>
      <c r="AL498" s="70"/>
      <c r="AM498" s="974" t="s">
        <v>7101</v>
      </c>
      <c r="AN498" s="974"/>
      <c r="AO498" s="974"/>
      <c r="AP498" s="974"/>
      <c r="AQ498" s="974"/>
      <c r="AR498" s="70"/>
      <c r="AS498" s="630">
        <v>841</v>
      </c>
    </row>
    <row r="499" spans="1:45" x14ac:dyDescent="0.25">
      <c r="A499" s="966"/>
      <c r="B499" s="966"/>
      <c r="C499" s="966"/>
      <c r="D499" s="966"/>
      <c r="E499" s="966"/>
      <c r="F499" s="966"/>
      <c r="G499" s="70"/>
      <c r="H499" s="70"/>
      <c r="I499" s="70"/>
      <c r="AM499" s="391" t="s">
        <v>7100</v>
      </c>
    </row>
    <row r="500" spans="1:45" x14ac:dyDescent="0.25">
      <c r="A500" s="498"/>
      <c r="B500" s="498"/>
      <c r="C500" s="498"/>
      <c r="D500" s="498"/>
      <c r="E500" s="498"/>
      <c r="F500" s="498"/>
      <c r="G500" s="70"/>
      <c r="H500" s="70"/>
      <c r="I500" s="70"/>
      <c r="AM500" s="391"/>
    </row>
    <row r="501" spans="1:45" x14ac:dyDescent="0.25">
      <c r="A501" s="965" t="e">
        <f>CONCATENATE(#REF!+3," – ATIVOS CONTINGENTES")</f>
        <v>#REF!</v>
      </c>
      <c r="B501" s="965"/>
      <c r="C501" s="965"/>
      <c r="D501" s="965"/>
      <c r="E501" s="965"/>
      <c r="F501" s="965"/>
      <c r="G501" s="70"/>
      <c r="H501" s="70"/>
      <c r="I501" s="70"/>
    </row>
    <row r="502" spans="1:45" ht="66.75" customHeight="1" x14ac:dyDescent="0.25">
      <c r="A502" s="966" t="s">
        <v>7059</v>
      </c>
      <c r="B502" s="966"/>
      <c r="C502" s="966"/>
      <c r="D502" s="966"/>
      <c r="E502" s="966"/>
      <c r="F502" s="966"/>
      <c r="G502" s="70"/>
      <c r="H502" s="70"/>
      <c r="I502" s="70"/>
    </row>
    <row r="503" spans="1:45" ht="39.75" customHeight="1" x14ac:dyDescent="0.25">
      <c r="A503" s="966" t="s">
        <v>7060</v>
      </c>
      <c r="B503" s="966"/>
      <c r="C503" s="966"/>
      <c r="D503" s="966"/>
      <c r="E503" s="966"/>
      <c r="F503" s="966"/>
      <c r="G503" s="70"/>
      <c r="H503" s="70"/>
      <c r="I503" s="70"/>
    </row>
    <row r="504" spans="1:45" x14ac:dyDescent="0.25">
      <c r="A504" s="966"/>
      <c r="B504" s="966"/>
      <c r="C504" s="966"/>
      <c r="D504" s="966"/>
      <c r="E504" s="966"/>
      <c r="F504" s="966"/>
      <c r="G504" s="70"/>
      <c r="H504" s="70"/>
      <c r="I504" s="70"/>
    </row>
    <row r="505" spans="1:45" ht="18.75" customHeight="1" x14ac:dyDescent="0.25">
      <c r="A505" s="966" t="s">
        <v>7113</v>
      </c>
      <c r="B505" s="966"/>
      <c r="C505" s="966"/>
      <c r="D505" s="966"/>
      <c r="E505" s="966"/>
      <c r="F505" s="966"/>
      <c r="G505" s="70"/>
      <c r="H505" s="70"/>
      <c r="I505" s="70"/>
    </row>
    <row r="506" spans="1:45" x14ac:dyDescent="0.25">
      <c r="A506" s="966"/>
      <c r="B506" s="966"/>
      <c r="C506" s="966"/>
      <c r="D506" s="966"/>
      <c r="E506" s="966"/>
      <c r="F506" s="966"/>
      <c r="G506" s="70"/>
      <c r="H506" s="70"/>
      <c r="I506" s="70"/>
    </row>
    <row r="507" spans="1:45" x14ac:dyDescent="0.25">
      <c r="A507" s="511" t="s">
        <v>7061</v>
      </c>
      <c r="B507" s="537"/>
      <c r="C507" s="365" t="str">
        <f>C438</f>
        <v xml:space="preserve"> Março 2025</v>
      </c>
      <c r="D507" s="574"/>
      <c r="E507" s="361" t="s">
        <v>6843</v>
      </c>
      <c r="F507" s="596"/>
      <c r="G507" s="70"/>
      <c r="H507" s="70"/>
      <c r="I507" s="70"/>
    </row>
    <row r="508" spans="1:45" x14ac:dyDescent="0.25">
      <c r="A508" s="526" t="s">
        <v>7062</v>
      </c>
      <c r="B508" s="388"/>
      <c r="C508" s="390">
        <v>460445</v>
      </c>
      <c r="D508" s="70"/>
      <c r="E508" s="390">
        <f>458906948.29/1000</f>
        <v>458906.94829000003</v>
      </c>
      <c r="F508" s="597"/>
      <c r="G508" s="70"/>
      <c r="H508" s="70"/>
      <c r="I508" s="70"/>
    </row>
    <row r="509" spans="1:45" x14ac:dyDescent="0.25">
      <c r="A509" s="526" t="s">
        <v>7063</v>
      </c>
      <c r="B509" s="388"/>
      <c r="C509" s="390">
        <v>235</v>
      </c>
      <c r="D509" s="70"/>
      <c r="E509" s="390">
        <f>234660.48/1000</f>
        <v>234.66048000000001</v>
      </c>
      <c r="F509" s="597"/>
      <c r="G509" s="70"/>
      <c r="H509" s="70"/>
      <c r="I509" s="70"/>
    </row>
    <row r="510" spans="1:45" x14ac:dyDescent="0.25">
      <c r="A510" s="511" t="s">
        <v>4503</v>
      </c>
      <c r="B510" s="535"/>
      <c r="C510" s="377">
        <f>C508+C509</f>
        <v>460680</v>
      </c>
      <c r="D510" s="536"/>
      <c r="E510" s="377">
        <f>E508+E509</f>
        <v>459141.60877000005</v>
      </c>
      <c r="F510" s="598"/>
      <c r="G510" s="70"/>
      <c r="H510" s="70"/>
      <c r="I510" s="70"/>
    </row>
    <row r="511" spans="1:45" x14ac:dyDescent="0.25">
      <c r="A511" s="498"/>
      <c r="B511" s="498"/>
      <c r="C511" s="498"/>
      <c r="D511" s="498"/>
      <c r="E511" s="498"/>
      <c r="F511" s="498"/>
      <c r="G511" s="70"/>
      <c r="H511" s="70"/>
      <c r="I511" s="70"/>
    </row>
    <row r="512" spans="1:45" x14ac:dyDescent="0.25">
      <c r="A512" s="965" t="e">
        <f>CONCATENATE(#REF!+4," - CONTRATO DE ARRENDAMENTO")</f>
        <v>#REF!</v>
      </c>
      <c r="B512" s="965"/>
      <c r="C512" s="965"/>
      <c r="D512" s="965"/>
      <c r="E512" s="965"/>
      <c r="F512" s="965"/>
      <c r="G512" s="70"/>
      <c r="H512" s="70"/>
      <c r="I512" s="70"/>
    </row>
    <row r="513" spans="1:9" x14ac:dyDescent="0.25">
      <c r="A513" s="966"/>
      <c r="B513" s="966"/>
      <c r="C513" s="966"/>
      <c r="D513" s="966"/>
      <c r="E513" s="966"/>
      <c r="F513" s="966"/>
      <c r="G513" s="70"/>
      <c r="H513" s="70"/>
      <c r="I513" s="70"/>
    </row>
    <row r="514" spans="1:9" ht="89.25" customHeight="1" x14ac:dyDescent="0.25">
      <c r="A514" s="966" t="s">
        <v>7056</v>
      </c>
      <c r="B514" s="966"/>
      <c r="C514" s="966"/>
      <c r="D514" s="966"/>
      <c r="E514" s="966"/>
      <c r="F514" s="966"/>
      <c r="G514" s="70"/>
      <c r="H514" s="70"/>
      <c r="I514" s="70"/>
    </row>
    <row r="515" spans="1:9" ht="84.75" customHeight="1" x14ac:dyDescent="0.25">
      <c r="A515" s="966" t="s">
        <v>7057</v>
      </c>
      <c r="B515" s="966"/>
      <c r="C515" s="966"/>
      <c r="D515" s="966"/>
      <c r="E515" s="966"/>
      <c r="F515" s="966"/>
      <c r="G515" s="70"/>
      <c r="H515" s="70"/>
      <c r="I515" s="70"/>
    </row>
    <row r="516" spans="1:9" x14ac:dyDescent="0.25">
      <c r="A516" s="966"/>
      <c r="B516" s="966"/>
      <c r="C516" s="966"/>
      <c r="D516" s="966"/>
      <c r="E516" s="966"/>
      <c r="F516" s="966"/>
      <c r="G516" s="70"/>
      <c r="H516" s="70"/>
      <c r="I516" s="70"/>
    </row>
    <row r="517" spans="1:9" ht="69" customHeight="1" x14ac:dyDescent="0.25">
      <c r="A517" s="966" t="s">
        <v>7058</v>
      </c>
      <c r="B517" s="966"/>
      <c r="C517" s="966"/>
      <c r="D517" s="966"/>
      <c r="E517" s="966"/>
      <c r="F517" s="966"/>
      <c r="G517" s="70"/>
      <c r="H517" s="70"/>
      <c r="I517" s="70"/>
    </row>
    <row r="518" spans="1:9" x14ac:dyDescent="0.25">
      <c r="A518" s="966"/>
      <c r="B518" s="966"/>
      <c r="C518" s="966"/>
      <c r="D518" s="966"/>
      <c r="E518" s="966"/>
      <c r="F518" s="966"/>
      <c r="G518" s="70"/>
      <c r="H518" s="70"/>
      <c r="I518" s="70"/>
    </row>
    <row r="519" spans="1:9" ht="48" customHeight="1" x14ac:dyDescent="0.25">
      <c r="A519" s="966" t="s">
        <v>7107</v>
      </c>
      <c r="B519" s="966"/>
      <c r="C519" s="966"/>
      <c r="D519" s="966"/>
      <c r="E519" s="966"/>
      <c r="F519" s="966"/>
      <c r="G519" s="70"/>
      <c r="H519" s="70"/>
      <c r="I519" s="70"/>
    </row>
    <row r="520" spans="1:9" x14ac:dyDescent="0.25">
      <c r="A520" s="966"/>
      <c r="B520" s="966"/>
      <c r="C520" s="966"/>
      <c r="D520" s="966"/>
      <c r="E520" s="966"/>
      <c r="F520" s="966"/>
      <c r="G520" s="70"/>
      <c r="H520" s="70"/>
      <c r="I520" s="70"/>
    </row>
    <row r="521" spans="1:9" ht="33.75" customHeight="1" x14ac:dyDescent="0.25">
      <c r="A521" s="965" t="e">
        <f>CONCATENATE(#REF!+5," - PREJUÍZOS FISCAIS E BASES NEGATIVAS DE IMPOSTO DE RENDA E CONTRIBUIÇÃO SOCIAL")</f>
        <v>#REF!</v>
      </c>
      <c r="B521" s="965"/>
      <c r="C521" s="965"/>
      <c r="D521" s="965"/>
      <c r="E521" s="965"/>
      <c r="F521" s="965"/>
      <c r="G521" s="70"/>
      <c r="H521" s="70"/>
      <c r="I521" s="70"/>
    </row>
    <row r="522" spans="1:9" ht="32.25" customHeight="1" x14ac:dyDescent="0.25">
      <c r="A522" s="966" t="s">
        <v>7064</v>
      </c>
      <c r="B522" s="966"/>
      <c r="C522" s="966"/>
      <c r="D522" s="966"/>
      <c r="E522" s="966"/>
      <c r="F522" s="966"/>
      <c r="G522" s="70"/>
      <c r="H522" s="70"/>
      <c r="I522" s="70"/>
    </row>
    <row r="523" spans="1:9" x14ac:dyDescent="0.25">
      <c r="A523" s="966"/>
      <c r="B523" s="966"/>
      <c r="C523" s="966"/>
      <c r="D523" s="966"/>
      <c r="E523" s="966"/>
      <c r="F523" s="966"/>
      <c r="G523" s="70"/>
      <c r="H523" s="70"/>
      <c r="I523" s="70"/>
    </row>
    <row r="524" spans="1:9" x14ac:dyDescent="0.25">
      <c r="A524" s="511" t="s">
        <v>7065</v>
      </c>
      <c r="B524" s="537"/>
      <c r="C524" s="365" t="str">
        <f>C507</f>
        <v xml:space="preserve"> Março 2025</v>
      </c>
      <c r="D524" s="574"/>
      <c r="E524" s="361" t="s">
        <v>6843</v>
      </c>
      <c r="F524" s="596"/>
      <c r="G524" s="70"/>
      <c r="H524" s="70"/>
      <c r="I524" s="70"/>
    </row>
    <row r="525" spans="1:9" x14ac:dyDescent="0.25">
      <c r="A525" s="526" t="s">
        <v>7066</v>
      </c>
      <c r="B525" s="388"/>
      <c r="C525" s="593"/>
      <c r="D525" s="70"/>
      <c r="E525" s="594">
        <v>124928</v>
      </c>
      <c r="F525" s="597"/>
      <c r="G525" s="70"/>
      <c r="H525" s="70"/>
      <c r="I525" s="70"/>
    </row>
    <row r="526" spans="1:9" x14ac:dyDescent="0.25">
      <c r="A526" s="526" t="s">
        <v>7067</v>
      </c>
      <c r="B526" s="388"/>
      <c r="C526" s="593"/>
      <c r="D526" s="70"/>
      <c r="E526" s="595">
        <v>136675</v>
      </c>
      <c r="F526" s="597"/>
      <c r="G526" s="70"/>
      <c r="H526" s="70"/>
      <c r="I526" s="70"/>
    </row>
    <row r="527" spans="1:9" x14ac:dyDescent="0.25">
      <c r="A527" s="511"/>
      <c r="B527" s="535"/>
      <c r="C527" s="540"/>
      <c r="D527" s="536"/>
      <c r="E527" s="377"/>
      <c r="F527" s="598"/>
      <c r="G527" s="70"/>
      <c r="H527" s="70"/>
      <c r="I527" s="70"/>
    </row>
    <row r="528" spans="1:9" x14ac:dyDescent="0.25">
      <c r="A528" s="966"/>
      <c r="B528" s="966"/>
      <c r="C528" s="966"/>
      <c r="D528" s="966"/>
      <c r="E528" s="966"/>
      <c r="F528" s="966"/>
      <c r="G528" s="70"/>
      <c r="H528" s="70"/>
      <c r="I528" s="70"/>
    </row>
    <row r="529" spans="1:65" x14ac:dyDescent="0.25">
      <c r="A529" s="965" t="e">
        <f>CONCATENATE(#REF!+6," - PRINCIPAIS TRANSAÇÕES COM PARTES RELACIONADAS")</f>
        <v>#REF!</v>
      </c>
      <c r="B529" s="965"/>
      <c r="C529" s="965"/>
      <c r="D529" s="965"/>
      <c r="E529" s="965"/>
      <c r="F529" s="965"/>
      <c r="G529" s="70"/>
      <c r="H529" s="70"/>
      <c r="I529" s="70"/>
    </row>
    <row r="530" spans="1:65" x14ac:dyDescent="0.25">
      <c r="A530" s="966"/>
      <c r="B530" s="966"/>
      <c r="C530" s="966"/>
      <c r="D530" s="966"/>
      <c r="E530" s="966"/>
      <c r="F530" s="966"/>
      <c r="G530" s="70"/>
      <c r="H530" s="70"/>
      <c r="I530" s="70"/>
    </row>
    <row r="531" spans="1:65" ht="129" customHeight="1" x14ac:dyDescent="0.25">
      <c r="A531" s="966" t="s">
        <v>7068</v>
      </c>
      <c r="B531" s="966"/>
      <c r="C531" s="966"/>
      <c r="D531" s="966"/>
      <c r="E531" s="966"/>
      <c r="F531" s="966"/>
      <c r="G531" s="70"/>
      <c r="H531" s="70"/>
      <c r="I531" s="70"/>
    </row>
    <row r="532" spans="1:65" x14ac:dyDescent="0.25">
      <c r="A532" s="966"/>
      <c r="B532" s="966"/>
      <c r="C532" s="966"/>
      <c r="D532" s="966"/>
      <c r="E532" s="966"/>
      <c r="F532" s="966"/>
      <c r="G532" s="70"/>
      <c r="H532" s="70"/>
      <c r="I532" s="70"/>
    </row>
    <row r="533" spans="1:65" ht="325.5" customHeight="1" x14ac:dyDescent="0.25">
      <c r="A533" s="966" t="s">
        <v>7069</v>
      </c>
      <c r="B533" s="966"/>
      <c r="C533" s="966"/>
      <c r="D533" s="966"/>
      <c r="E533" s="966"/>
      <c r="F533" s="966"/>
      <c r="G533" s="70"/>
      <c r="H533" s="70"/>
      <c r="I533" s="70"/>
    </row>
    <row r="534" spans="1:65" x14ac:dyDescent="0.25">
      <c r="A534" s="966"/>
      <c r="B534" s="966"/>
      <c r="C534" s="966"/>
      <c r="D534" s="966"/>
      <c r="E534" s="966"/>
      <c r="F534" s="966"/>
      <c r="G534" s="70"/>
      <c r="H534" s="70"/>
      <c r="I534" s="70"/>
      <c r="BF534" s="651"/>
    </row>
    <row r="535" spans="1:65" x14ac:dyDescent="0.25">
      <c r="A535" s="966"/>
      <c r="B535" s="966"/>
      <c r="C535" s="966"/>
      <c r="D535" s="966"/>
      <c r="E535" s="966"/>
      <c r="F535" s="966"/>
      <c r="G535" s="70"/>
      <c r="H535" s="70"/>
      <c r="I535" s="70"/>
      <c r="BH535" s="651">
        <f>13120-BH538</f>
        <v>0</v>
      </c>
    </row>
    <row r="536" spans="1:65" ht="32.25" customHeight="1" x14ac:dyDescent="0.25">
      <c r="A536" s="966"/>
      <c r="B536" s="966"/>
      <c r="C536" s="966"/>
      <c r="D536" s="966"/>
      <c r="E536" s="966"/>
      <c r="F536" s="966"/>
      <c r="G536" s="70"/>
      <c r="H536" s="70"/>
      <c r="I536" s="70"/>
      <c r="AV536" s="603" t="s">
        <v>7070</v>
      </c>
      <c r="AW536" s="601"/>
      <c r="AX536" s="603" t="s">
        <v>7071</v>
      </c>
      <c r="AY536" s="601"/>
      <c r="AZ536" s="603" t="s">
        <v>7078</v>
      </c>
      <c r="BA536" s="601"/>
      <c r="BB536" s="603" t="s">
        <v>7079</v>
      </c>
      <c r="BC536" s="601"/>
      <c r="BD536" s="603" t="s">
        <v>6957</v>
      </c>
      <c r="BE536" s="601"/>
      <c r="BF536" s="603" t="s">
        <v>7072</v>
      </c>
      <c r="BG536" s="601"/>
      <c r="BH536" s="603" t="e">
        <f>#REF!</f>
        <v>#REF!</v>
      </c>
      <c r="BI536" s="601"/>
      <c r="BJ536" s="603" t="s">
        <v>7073</v>
      </c>
      <c r="BK536" s="601"/>
      <c r="BL536" s="603" t="s">
        <v>4503</v>
      </c>
    </row>
    <row r="537" spans="1:65" x14ac:dyDescent="0.25">
      <c r="A537" s="966"/>
      <c r="B537" s="966"/>
      <c r="C537" s="966"/>
      <c r="D537" s="966"/>
      <c r="E537" s="966"/>
      <c r="F537" s="966"/>
      <c r="G537" s="70"/>
      <c r="H537" s="70"/>
      <c r="I537" s="70"/>
      <c r="AV537" s="600" t="s">
        <v>7074</v>
      </c>
      <c r="AW537" s="959"/>
      <c r="AX537" s="959"/>
      <c r="AY537" s="959"/>
      <c r="AZ537" s="959"/>
      <c r="BA537" s="959"/>
      <c r="BB537" s="959"/>
      <c r="BC537" s="959"/>
      <c r="BD537" s="959"/>
      <c r="BE537" s="959"/>
      <c r="BF537" s="959"/>
      <c r="BG537" s="959"/>
      <c r="BH537" s="959"/>
      <c r="BI537" s="967"/>
      <c r="BJ537" s="967"/>
      <c r="BK537" s="967"/>
      <c r="BL537" s="967"/>
    </row>
    <row r="538" spans="1:65" x14ac:dyDescent="0.25">
      <c r="A538" s="966"/>
      <c r="B538" s="966"/>
      <c r="C538" s="966"/>
      <c r="D538" s="966"/>
      <c r="E538" s="966"/>
      <c r="F538" s="966"/>
      <c r="G538" s="70"/>
      <c r="H538" s="70"/>
      <c r="I538" s="70"/>
      <c r="AV538" s="604" t="s">
        <v>7075</v>
      </c>
      <c r="AW538" s="674"/>
      <c r="AX538" s="675">
        <v>315842</v>
      </c>
      <c r="AY538" s="674"/>
      <c r="AZ538" s="650">
        <v>29279</v>
      </c>
      <c r="BA538" s="674"/>
      <c r="BB538" s="650">
        <v>0</v>
      </c>
      <c r="BC538" s="674"/>
      <c r="BD538" s="650">
        <v>23253</v>
      </c>
      <c r="BE538" s="674"/>
      <c r="BF538" s="650">
        <f>1180+14161</f>
        <v>15341</v>
      </c>
      <c r="BG538" s="674"/>
      <c r="BH538" s="650">
        <f>11988+1132</f>
        <v>13120</v>
      </c>
      <c r="BI538" s="674"/>
      <c r="BJ538" s="675"/>
      <c r="BK538" s="674"/>
      <c r="BL538" s="675">
        <f>SUM(AX538:BJ538)</f>
        <v>396835</v>
      </c>
    </row>
    <row r="539" spans="1:65" x14ac:dyDescent="0.25">
      <c r="A539" s="966"/>
      <c r="B539" s="966"/>
      <c r="C539" s="966"/>
      <c r="D539" s="966"/>
      <c r="E539" s="966"/>
      <c r="F539" s="966"/>
      <c r="G539" s="70"/>
      <c r="H539" s="70"/>
      <c r="I539" s="70"/>
      <c r="AV539" s="600" t="s">
        <v>7076</v>
      </c>
      <c r="AW539" s="969"/>
      <c r="AX539" s="969"/>
      <c r="AY539" s="969"/>
      <c r="AZ539" s="969"/>
      <c r="BA539" s="969"/>
      <c r="BB539" s="969"/>
      <c r="BC539" s="969"/>
      <c r="BD539" s="969"/>
      <c r="BE539" s="969"/>
      <c r="BF539" s="969"/>
      <c r="BG539" s="969"/>
      <c r="BH539" s="969"/>
      <c r="BI539" s="969"/>
      <c r="BJ539" s="969"/>
      <c r="BK539" s="969"/>
      <c r="BL539" s="969"/>
    </row>
    <row r="540" spans="1:65" x14ac:dyDescent="0.25">
      <c r="A540" s="966"/>
      <c r="B540" s="966"/>
      <c r="C540" s="966"/>
      <c r="D540" s="966"/>
      <c r="E540" s="966"/>
      <c r="F540" s="966"/>
      <c r="G540" s="70"/>
      <c r="H540" s="70"/>
      <c r="I540" s="70"/>
      <c r="AV540" s="605" t="s">
        <v>7077</v>
      </c>
      <c r="AW540" s="674"/>
      <c r="AX540" s="675"/>
      <c r="AY540" s="674"/>
      <c r="AZ540" s="675">
        <v>-33</v>
      </c>
      <c r="BA540" s="674"/>
      <c r="BB540" s="675">
        <v>-1890</v>
      </c>
      <c r="BC540" s="674"/>
      <c r="BD540" s="675">
        <v>-2351</v>
      </c>
      <c r="BE540" s="674"/>
      <c r="BF540" s="675">
        <v>-33632</v>
      </c>
      <c r="BG540" s="674"/>
      <c r="BH540" s="675">
        <v>0</v>
      </c>
      <c r="BI540" s="674"/>
      <c r="BJ540" s="675">
        <v>-293165</v>
      </c>
      <c r="BK540" s="674"/>
      <c r="BL540" s="675">
        <f>SUM(AX540:BJ540)</f>
        <v>-331071</v>
      </c>
    </row>
    <row r="541" spans="1:65" x14ac:dyDescent="0.25">
      <c r="A541" s="966"/>
      <c r="B541" s="966"/>
      <c r="C541" s="966"/>
      <c r="D541" s="966"/>
      <c r="E541" s="966"/>
      <c r="F541" s="966"/>
      <c r="G541" s="70"/>
      <c r="H541" s="70"/>
      <c r="I541" s="70"/>
      <c r="AV541" s="602" t="s">
        <v>7010</v>
      </c>
      <c r="AW541" s="674"/>
      <c r="AX541" s="676">
        <f>AX538+AX540</f>
        <v>315842</v>
      </c>
      <c r="AY541" s="674"/>
      <c r="AZ541" s="676">
        <f>AZ538+AZ540</f>
        <v>29246</v>
      </c>
      <c r="BA541" s="674"/>
      <c r="BB541" s="676">
        <f>BB538+BB540</f>
        <v>-1890</v>
      </c>
      <c r="BC541" s="674"/>
      <c r="BD541" s="676">
        <f>BD538+BD540</f>
        <v>20902</v>
      </c>
      <c r="BE541" s="674"/>
      <c r="BF541" s="676">
        <f>BF538+BF540</f>
        <v>-18291</v>
      </c>
      <c r="BG541" s="674"/>
      <c r="BH541" s="676">
        <f>BH538+BH540</f>
        <v>13120</v>
      </c>
      <c r="BI541" s="674"/>
      <c r="BJ541" s="676" t="s">
        <v>7114</v>
      </c>
      <c r="BK541" s="674"/>
      <c r="BL541" s="676">
        <f>BL538+BL540</f>
        <v>65764</v>
      </c>
      <c r="BM541" s="649" t="s">
        <v>7111</v>
      </c>
    </row>
    <row r="542" spans="1:65" x14ac:dyDescent="0.25">
      <c r="A542" s="966"/>
      <c r="B542" s="966"/>
      <c r="C542" s="966"/>
      <c r="D542" s="966"/>
      <c r="E542" s="966"/>
      <c r="F542" s="966"/>
      <c r="G542" s="70"/>
      <c r="H542" s="70"/>
      <c r="I542" s="70"/>
    </row>
    <row r="543" spans="1:65" x14ac:dyDescent="0.25">
      <c r="A543" s="966"/>
      <c r="B543" s="966"/>
      <c r="C543" s="966"/>
      <c r="D543" s="966"/>
      <c r="E543" s="966"/>
      <c r="F543" s="966"/>
      <c r="G543" s="70"/>
      <c r="H543" s="70"/>
      <c r="I543" s="70"/>
    </row>
    <row r="544" spans="1:65" x14ac:dyDescent="0.25">
      <c r="A544" s="965" t="e">
        <f>CONCATENATE(#REF!+7," - REMUNERAÇÃO E BENECÍFIOS CONCEDIDOS")</f>
        <v>#REF!</v>
      </c>
      <c r="B544" s="965"/>
      <c r="C544" s="965"/>
      <c r="D544" s="965"/>
      <c r="E544" s="965"/>
      <c r="F544" s="965"/>
      <c r="G544" s="70"/>
      <c r="H544" s="70"/>
      <c r="I544" s="70"/>
    </row>
    <row r="545" spans="1:72" ht="78" customHeight="1" x14ac:dyDescent="0.25">
      <c r="A545" s="966" t="s">
        <v>7080</v>
      </c>
      <c r="B545" s="966"/>
      <c r="C545" s="966"/>
      <c r="D545" s="966"/>
      <c r="E545" s="966"/>
      <c r="F545" s="966"/>
      <c r="G545" s="70"/>
      <c r="H545" s="70"/>
      <c r="I545" s="70"/>
    </row>
    <row r="546" spans="1:72" x14ac:dyDescent="0.25">
      <c r="A546" s="498"/>
      <c r="B546" s="498"/>
      <c r="C546" s="498"/>
      <c r="D546" s="498"/>
      <c r="E546" s="498"/>
      <c r="F546" s="498"/>
      <c r="G546" s="70"/>
      <c r="H546" s="70"/>
      <c r="I546" s="70"/>
    </row>
    <row r="547" spans="1:72" x14ac:dyDescent="0.25">
      <c r="A547" s="966"/>
      <c r="B547" s="966"/>
      <c r="C547" s="966"/>
      <c r="D547" s="966"/>
      <c r="E547" s="966"/>
      <c r="F547" s="966"/>
      <c r="G547" s="70"/>
      <c r="H547" s="70"/>
      <c r="I547" s="70"/>
      <c r="BP547" s="1006" t="s">
        <v>7103</v>
      </c>
      <c r="BQ547" s="1006"/>
      <c r="BR547" s="1006"/>
      <c r="BS547" s="1006"/>
      <c r="BT547" s="1006"/>
    </row>
    <row r="548" spans="1:72" x14ac:dyDescent="0.25">
      <c r="A548" s="599"/>
      <c r="B548" s="599"/>
      <c r="C548" s="599"/>
      <c r="D548" s="599"/>
      <c r="E548" s="599"/>
      <c r="F548" s="599"/>
      <c r="G548" s="70"/>
      <c r="H548" s="70"/>
      <c r="I548" s="70"/>
      <c r="BO548" s="607"/>
      <c r="BP548" s="606" t="s">
        <v>7084</v>
      </c>
      <c r="BQ548" s="607"/>
      <c r="BR548" s="606" t="s">
        <v>4522</v>
      </c>
      <c r="BS548" s="607"/>
      <c r="BT548" s="606" t="s">
        <v>4523</v>
      </c>
    </row>
    <row r="549" spans="1:72" x14ac:dyDescent="0.25">
      <c r="A549" s="599"/>
      <c r="B549" s="599"/>
      <c r="C549" s="599"/>
      <c r="D549" s="599"/>
      <c r="E549" s="599"/>
      <c r="F549" s="599"/>
      <c r="G549" s="70"/>
      <c r="H549" s="70"/>
      <c r="I549" s="70"/>
      <c r="BN549" s="608" t="s">
        <v>7085</v>
      </c>
      <c r="BO549" s="378"/>
      <c r="BP549" s="609">
        <v>35427.040000000001</v>
      </c>
      <c r="BQ549" s="633"/>
      <c r="BR549" s="609">
        <v>35427.040000000001</v>
      </c>
      <c r="BS549" s="609"/>
      <c r="BT549" s="609">
        <v>35427.040000000001</v>
      </c>
    </row>
    <row r="550" spans="1:72" x14ac:dyDescent="0.25">
      <c r="A550" s="599"/>
      <c r="B550" s="599"/>
      <c r="C550" s="599"/>
      <c r="D550" s="599"/>
      <c r="E550" s="599"/>
      <c r="F550" s="599"/>
      <c r="G550" s="70"/>
      <c r="H550" s="70"/>
      <c r="I550" s="70"/>
      <c r="BN550" s="608" t="s">
        <v>4524</v>
      </c>
      <c r="BO550" s="378"/>
      <c r="BP550" s="609">
        <v>18314.96</v>
      </c>
      <c r="BQ550" s="633"/>
      <c r="BR550" s="609">
        <v>46366.19</v>
      </c>
      <c r="BS550" s="633"/>
      <c r="BT550" s="609">
        <v>4642.09</v>
      </c>
    </row>
    <row r="551" spans="1:72" x14ac:dyDescent="0.25">
      <c r="A551" s="599"/>
      <c r="B551" s="599"/>
      <c r="C551" s="599"/>
      <c r="D551" s="599"/>
      <c r="E551" s="599"/>
      <c r="F551" s="599"/>
      <c r="G551" s="70"/>
      <c r="H551" s="70"/>
      <c r="I551" s="70"/>
      <c r="BN551" s="608" t="s">
        <v>7086</v>
      </c>
      <c r="BO551" s="610"/>
      <c r="BP551" s="609">
        <v>3837.93</v>
      </c>
      <c r="BQ551" s="632"/>
      <c r="BR551" s="634"/>
      <c r="BS551" s="635"/>
      <c r="BT551" s="634"/>
    </row>
    <row r="552" spans="1:72" x14ac:dyDescent="0.25">
      <c r="A552" s="599"/>
      <c r="B552" s="599"/>
      <c r="C552" s="599"/>
      <c r="D552" s="599"/>
      <c r="E552" s="599"/>
      <c r="F552" s="599"/>
      <c r="G552" s="70"/>
      <c r="H552" s="70"/>
      <c r="I552" s="70"/>
      <c r="BN552" s="608" t="s">
        <v>7087</v>
      </c>
      <c r="BO552" s="378"/>
      <c r="BP552" s="609">
        <v>3837.93</v>
      </c>
      <c r="BQ552" s="632"/>
      <c r="BR552" s="636"/>
      <c r="BS552" s="635"/>
      <c r="BT552" s="636"/>
    </row>
    <row r="553" spans="1:72" ht="18.75" x14ac:dyDescent="0.25">
      <c r="A553" s="599"/>
      <c r="B553" s="599"/>
      <c r="C553" s="599"/>
      <c r="D553" s="599"/>
      <c r="E553" s="599"/>
      <c r="F553" s="599"/>
      <c r="G553" s="70"/>
      <c r="H553" s="70"/>
      <c r="I553" s="70"/>
      <c r="BN553" s="608" t="s">
        <v>7083</v>
      </c>
      <c r="BO553" s="378"/>
      <c r="BP553" s="609">
        <v>4162.8</v>
      </c>
      <c r="BQ553" s="633"/>
      <c r="BR553" s="637"/>
      <c r="BS553" s="638"/>
      <c r="BT553" s="637"/>
    </row>
    <row r="554" spans="1:72" x14ac:dyDescent="0.25">
      <c r="A554" s="599"/>
      <c r="B554" s="599"/>
      <c r="C554" s="599"/>
      <c r="D554" s="599"/>
      <c r="E554" s="599"/>
      <c r="F554" s="599"/>
      <c r="G554" s="70"/>
      <c r="H554" s="70"/>
      <c r="I554" s="70"/>
      <c r="BN554" s="70" t="s">
        <v>7082</v>
      </c>
      <c r="BO554" s="70"/>
      <c r="BP554" s="70"/>
      <c r="BQ554" s="70"/>
      <c r="BR554" s="70"/>
      <c r="BS554" s="70"/>
      <c r="BT554" s="70"/>
    </row>
    <row r="555" spans="1:72" x14ac:dyDescent="0.25">
      <c r="A555" s="599"/>
      <c r="B555" s="599"/>
      <c r="C555" s="599"/>
      <c r="D555" s="599"/>
      <c r="E555" s="599"/>
      <c r="F555" s="599"/>
      <c r="G555" s="70"/>
      <c r="H555" s="70"/>
      <c r="I555" s="70"/>
      <c r="BN555" s="70"/>
      <c r="BO555" s="70"/>
      <c r="BP555" s="70"/>
      <c r="BQ555" s="70"/>
      <c r="BR555" s="70"/>
      <c r="BS555" s="70"/>
      <c r="BT555" s="70"/>
    </row>
    <row r="556" spans="1:72" ht="30" customHeight="1" x14ac:dyDescent="0.25">
      <c r="A556" s="599"/>
      <c r="B556" s="599"/>
      <c r="C556" s="599"/>
      <c r="D556" s="599"/>
      <c r="E556" s="599"/>
      <c r="F556" s="599"/>
      <c r="G556" s="70"/>
      <c r="H556" s="70"/>
      <c r="I556" s="70"/>
      <c r="BN556" s="611" t="s">
        <v>7104</v>
      </c>
      <c r="BO556" s="612"/>
      <c r="BP556" s="613"/>
      <c r="BQ556" s="614"/>
      <c r="BR556" s="613"/>
      <c r="BS556" s="614"/>
      <c r="BT556" s="617" t="s">
        <v>7105</v>
      </c>
    </row>
    <row r="557" spans="1:72" x14ac:dyDescent="0.25">
      <c r="A557" s="599"/>
      <c r="B557" s="599"/>
      <c r="C557" s="599"/>
      <c r="D557" s="599"/>
      <c r="E557" s="599"/>
      <c r="F557" s="599"/>
      <c r="G557" s="70"/>
      <c r="H557" s="70"/>
      <c r="I557" s="70"/>
      <c r="BN557" s="70" t="s">
        <v>7088</v>
      </c>
      <c r="BO557" s="70"/>
      <c r="BP557" s="615"/>
      <c r="BQ557" s="615"/>
      <c r="BR557" s="615"/>
      <c r="BS557" s="615"/>
      <c r="BT557" s="615">
        <v>5729</v>
      </c>
    </row>
    <row r="558" spans="1:72" x14ac:dyDescent="0.25">
      <c r="A558" s="599"/>
      <c r="B558" s="599"/>
      <c r="C558" s="599"/>
      <c r="D558" s="599"/>
      <c r="E558" s="599"/>
      <c r="F558" s="599"/>
      <c r="G558" s="70"/>
      <c r="H558" s="70"/>
      <c r="I558" s="70"/>
      <c r="BN558" s="70" t="s">
        <v>7081</v>
      </c>
      <c r="BO558" s="70"/>
      <c r="BP558" s="615"/>
      <c r="BQ558" s="615"/>
      <c r="BR558" s="615"/>
      <c r="BS558" s="615"/>
      <c r="BT558" s="615">
        <v>3501</v>
      </c>
    </row>
    <row r="559" spans="1:72" x14ac:dyDescent="0.25">
      <c r="A559" s="599"/>
      <c r="B559" s="599"/>
      <c r="C559" s="599"/>
      <c r="D559" s="599"/>
      <c r="E559" s="599"/>
      <c r="F559" s="599"/>
      <c r="G559" s="70"/>
      <c r="H559" s="70"/>
      <c r="I559" s="70"/>
      <c r="BN559" s="70" t="s">
        <v>7089</v>
      </c>
      <c r="BO559" s="70"/>
      <c r="BP559" s="615"/>
      <c r="BQ559" s="615"/>
      <c r="BR559" s="615"/>
      <c r="BS559" s="615"/>
      <c r="BT559" s="615">
        <v>0</v>
      </c>
    </row>
    <row r="560" spans="1:72" x14ac:dyDescent="0.25">
      <c r="A560" s="599"/>
      <c r="B560" s="599"/>
      <c r="C560" s="599"/>
      <c r="D560" s="599"/>
      <c r="E560" s="599"/>
      <c r="F560" s="599"/>
      <c r="G560" s="70"/>
      <c r="H560" s="70"/>
      <c r="I560" s="70"/>
      <c r="BN560" s="70" t="s">
        <v>7090</v>
      </c>
      <c r="BO560" s="70"/>
      <c r="BP560" s="615"/>
      <c r="BQ560" s="615"/>
      <c r="BR560" s="615"/>
      <c r="BS560" s="615"/>
      <c r="BT560" s="615">
        <v>230</v>
      </c>
    </row>
    <row r="561" spans="1:72" x14ac:dyDescent="0.25">
      <c r="A561" s="599"/>
      <c r="B561" s="599"/>
      <c r="C561" s="599"/>
      <c r="D561" s="599"/>
      <c r="E561" s="599"/>
      <c r="F561" s="599"/>
      <c r="G561" s="70"/>
      <c r="H561" s="70"/>
      <c r="I561" s="70"/>
      <c r="BN561" s="70" t="s">
        <v>7091</v>
      </c>
      <c r="BO561" s="70"/>
      <c r="BP561" s="615"/>
      <c r="BQ561" s="615"/>
      <c r="BR561" s="615"/>
      <c r="BS561" s="615"/>
      <c r="BT561" s="615">
        <v>4959</v>
      </c>
    </row>
    <row r="562" spans="1:72" x14ac:dyDescent="0.25">
      <c r="A562" s="599"/>
      <c r="B562" s="599"/>
      <c r="C562" s="599"/>
      <c r="D562" s="599"/>
      <c r="E562" s="599"/>
      <c r="F562" s="599"/>
      <c r="G562" s="70"/>
      <c r="H562" s="70"/>
      <c r="I562" s="70"/>
      <c r="BN562" s="70" t="s">
        <v>7092</v>
      </c>
      <c r="BO562" s="70"/>
      <c r="BP562" s="615"/>
      <c r="BQ562" s="615"/>
      <c r="BR562" s="615"/>
      <c r="BS562" s="615"/>
      <c r="BT562" s="615">
        <v>7875</v>
      </c>
    </row>
    <row r="563" spans="1:72" ht="15.75" customHeight="1" x14ac:dyDescent="0.25">
      <c r="A563" s="599"/>
      <c r="B563" s="599"/>
      <c r="C563" s="599"/>
      <c r="D563" s="599"/>
      <c r="E563" s="599"/>
      <c r="F563" s="599"/>
      <c r="G563" s="70"/>
      <c r="H563" s="70"/>
      <c r="I563" s="70"/>
      <c r="BN563" s="1007" t="s">
        <v>7106</v>
      </c>
      <c r="BO563" s="1007"/>
      <c r="BP563" s="1007"/>
      <c r="BQ563" s="1007"/>
      <c r="BR563" s="1007"/>
      <c r="BS563" s="616"/>
      <c r="BT563" s="639">
        <v>2</v>
      </c>
    </row>
    <row r="564" spans="1:72" x14ac:dyDescent="0.25">
      <c r="A564" s="966"/>
      <c r="B564" s="966"/>
      <c r="C564" s="966"/>
      <c r="D564" s="966"/>
      <c r="E564" s="966"/>
      <c r="F564" s="966"/>
      <c r="G564" s="70"/>
      <c r="H564" s="70"/>
      <c r="I564" s="70"/>
    </row>
    <row r="565" spans="1:72" x14ac:dyDescent="0.25">
      <c r="A565" s="965" t="e">
        <f>CONCATENATE(#REF!+8," - CONTINUIDADE OPERACIONAL DA COMPANHIA")</f>
        <v>#REF!</v>
      </c>
      <c r="B565" s="965"/>
      <c r="C565" s="965"/>
      <c r="D565" s="965"/>
      <c r="E565" s="965"/>
      <c r="F565" s="965"/>
      <c r="G565" s="70"/>
      <c r="H565" s="70"/>
      <c r="I565" s="70"/>
    </row>
    <row r="566" spans="1:72" ht="51.75" customHeight="1" x14ac:dyDescent="0.25">
      <c r="A566" s="966" t="s">
        <v>7093</v>
      </c>
      <c r="B566" s="966"/>
      <c r="C566" s="966"/>
      <c r="D566" s="966"/>
      <c r="E566" s="966"/>
      <c r="F566" s="966"/>
      <c r="G566" s="70"/>
      <c r="H566" s="70"/>
      <c r="I566" s="70"/>
    </row>
    <row r="567" spans="1:72" x14ac:dyDescent="0.25">
      <c r="A567" s="966"/>
      <c r="B567" s="966"/>
      <c r="C567" s="966"/>
      <c r="D567" s="966"/>
      <c r="E567" s="966"/>
      <c r="F567" s="966"/>
      <c r="G567" s="70"/>
      <c r="H567" s="70"/>
      <c r="I567" s="70"/>
    </row>
    <row r="568" spans="1:72" x14ac:dyDescent="0.25">
      <c r="A568" s="965" t="e">
        <f>CONCATENATE(#REF!+9," - DECLARAÇÃO DOS DIRETORES DA COMPANHIA")</f>
        <v>#REF!</v>
      </c>
      <c r="B568" s="965"/>
      <c r="C568" s="965"/>
      <c r="D568" s="965"/>
      <c r="E568" s="965"/>
      <c r="F568" s="965"/>
      <c r="G568" s="70"/>
      <c r="H568" s="70"/>
      <c r="I568" s="70"/>
    </row>
    <row r="569" spans="1:72" ht="99.75" customHeight="1" x14ac:dyDescent="0.25">
      <c r="A569" s="966" t="s">
        <v>7123</v>
      </c>
      <c r="B569" s="966"/>
      <c r="C569" s="966"/>
      <c r="D569" s="966"/>
      <c r="E569" s="966"/>
      <c r="F569" s="966"/>
      <c r="G569" s="70"/>
      <c r="H569" s="70"/>
      <c r="I569" s="70"/>
    </row>
    <row r="570" spans="1:72" x14ac:dyDescent="0.25">
      <c r="A570" s="1008" t="s">
        <v>7115</v>
      </c>
      <c r="B570" s="1008"/>
      <c r="C570" s="1008"/>
      <c r="D570" s="1008"/>
      <c r="E570" s="1008"/>
      <c r="F570" s="1008"/>
      <c r="G570" s="70"/>
      <c r="H570" s="70"/>
      <c r="I570" s="70"/>
    </row>
    <row r="571" spans="1:72" x14ac:dyDescent="0.25">
      <c r="A571" s="966"/>
      <c r="B571" s="966"/>
      <c r="C571" s="966"/>
      <c r="D571" s="966"/>
      <c r="E571" s="966"/>
      <c r="F571" s="966"/>
      <c r="G571" s="70"/>
      <c r="H571" s="70"/>
      <c r="I571" s="70"/>
    </row>
    <row r="572" spans="1:72" x14ac:dyDescent="0.25">
      <c r="A572" s="966"/>
      <c r="B572" s="966"/>
      <c r="C572" s="966"/>
      <c r="D572" s="966"/>
      <c r="E572" s="966"/>
      <c r="F572" s="966"/>
      <c r="G572" s="70"/>
      <c r="H572" s="70"/>
      <c r="I572" s="70"/>
    </row>
    <row r="573" spans="1:72" x14ac:dyDescent="0.25">
      <c r="A573" s="966"/>
      <c r="B573" s="966"/>
      <c r="C573" s="966"/>
      <c r="D573" s="966"/>
      <c r="E573" s="966"/>
      <c r="F573" s="966"/>
      <c r="G573" s="70"/>
      <c r="H573" s="70"/>
      <c r="I573" s="70"/>
    </row>
    <row r="574" spans="1:72" x14ac:dyDescent="0.25">
      <c r="A574" s="966"/>
      <c r="B574" s="966"/>
      <c r="C574" s="966"/>
      <c r="D574" s="966"/>
      <c r="E574" s="966"/>
      <c r="F574" s="966"/>
      <c r="G574" s="70"/>
      <c r="H574" s="70"/>
      <c r="I574" s="70"/>
    </row>
    <row r="575" spans="1:72" x14ac:dyDescent="0.25">
      <c r="A575" s="966"/>
      <c r="B575" s="966"/>
      <c r="C575" s="966"/>
      <c r="D575" s="966"/>
      <c r="E575" s="966"/>
      <c r="F575" s="966"/>
      <c r="G575" s="70"/>
      <c r="H575" s="70"/>
      <c r="I575" s="70"/>
    </row>
    <row r="576" spans="1:72" x14ac:dyDescent="0.25">
      <c r="A576" s="966"/>
      <c r="B576" s="966"/>
      <c r="C576" s="966"/>
      <c r="D576" s="966"/>
      <c r="E576" s="966"/>
      <c r="F576" s="966"/>
      <c r="G576" s="70"/>
      <c r="H576" s="70"/>
      <c r="I576" s="70"/>
    </row>
    <row r="577" spans="1:9" x14ac:dyDescent="0.25">
      <c r="A577" s="966"/>
      <c r="B577" s="966"/>
      <c r="C577" s="966"/>
      <c r="D577" s="966"/>
      <c r="E577" s="966"/>
      <c r="F577" s="966"/>
      <c r="G577" s="70"/>
      <c r="H577" s="70"/>
      <c r="I577" s="70"/>
    </row>
    <row r="578" spans="1:9" x14ac:dyDescent="0.25">
      <c r="A578" s="966"/>
      <c r="B578" s="966"/>
      <c r="C578" s="966"/>
      <c r="D578" s="966"/>
      <c r="E578" s="966"/>
      <c r="F578" s="966"/>
      <c r="G578" s="70"/>
      <c r="H578" s="70"/>
      <c r="I578" s="70"/>
    </row>
    <row r="579" spans="1:9" x14ac:dyDescent="0.25">
      <c r="A579" s="966"/>
      <c r="B579" s="966"/>
      <c r="C579" s="966"/>
      <c r="D579" s="966"/>
      <c r="E579" s="966"/>
      <c r="F579" s="966"/>
      <c r="G579" s="70"/>
      <c r="H579" s="70"/>
      <c r="I579" s="70"/>
    </row>
    <row r="580" spans="1:9" x14ac:dyDescent="0.25">
      <c r="A580" s="966"/>
      <c r="B580" s="966"/>
      <c r="C580" s="966"/>
      <c r="D580" s="966"/>
      <c r="E580" s="966"/>
      <c r="F580" s="966"/>
      <c r="G580" s="70"/>
      <c r="H580" s="70"/>
      <c r="I580" s="70"/>
    </row>
    <row r="581" spans="1:9" x14ac:dyDescent="0.25">
      <c r="A581" s="966"/>
      <c r="B581" s="966"/>
      <c r="C581" s="966"/>
      <c r="D581" s="966"/>
      <c r="E581" s="966"/>
      <c r="F581" s="966"/>
      <c r="G581" s="70"/>
      <c r="H581" s="70"/>
      <c r="I581" s="70"/>
    </row>
    <row r="582" spans="1:9" x14ac:dyDescent="0.25">
      <c r="A582" s="966"/>
      <c r="B582" s="966"/>
      <c r="C582" s="966"/>
      <c r="D582" s="966"/>
      <c r="E582" s="966"/>
      <c r="F582" s="966"/>
      <c r="G582" s="70"/>
      <c r="H582" s="70"/>
      <c r="I582" s="70"/>
    </row>
    <row r="583" spans="1:9" x14ac:dyDescent="0.25">
      <c r="A583" s="966"/>
      <c r="B583" s="966"/>
      <c r="C583" s="966"/>
      <c r="D583" s="966"/>
      <c r="E583" s="966"/>
      <c r="F583" s="966"/>
      <c r="G583" s="70"/>
      <c r="H583" s="70"/>
      <c r="I583" s="70"/>
    </row>
    <row r="584" spans="1:9" x14ac:dyDescent="0.25">
      <c r="A584" s="966"/>
      <c r="B584" s="966"/>
      <c r="C584" s="966"/>
      <c r="D584" s="966"/>
      <c r="E584" s="966"/>
      <c r="F584" s="966"/>
      <c r="G584" s="70"/>
      <c r="H584" s="70"/>
      <c r="I584" s="70"/>
    </row>
    <row r="585" spans="1:9" x14ac:dyDescent="0.25">
      <c r="A585" s="966"/>
      <c r="B585" s="966"/>
      <c r="C585" s="966"/>
      <c r="D585" s="966"/>
      <c r="E585" s="966"/>
      <c r="F585" s="966"/>
      <c r="G585" s="70"/>
      <c r="H585" s="70"/>
      <c r="I585" s="70"/>
    </row>
    <row r="586" spans="1:9" x14ac:dyDescent="0.25">
      <c r="A586" s="966"/>
      <c r="B586" s="966"/>
      <c r="C586" s="966"/>
      <c r="D586" s="966"/>
      <c r="E586" s="966"/>
      <c r="F586" s="966"/>
      <c r="G586" s="70"/>
      <c r="H586" s="70"/>
      <c r="I586" s="70"/>
    </row>
    <row r="587" spans="1:9" x14ac:dyDescent="0.25">
      <c r="A587" s="966"/>
      <c r="B587" s="966"/>
      <c r="C587" s="966"/>
      <c r="D587" s="966"/>
      <c r="E587" s="966"/>
      <c r="F587" s="966"/>
      <c r="G587" s="70"/>
      <c r="H587" s="70"/>
      <c r="I587" s="70"/>
    </row>
    <row r="588" spans="1:9" x14ac:dyDescent="0.25">
      <c r="A588" s="966"/>
      <c r="B588" s="966"/>
      <c r="C588" s="966"/>
      <c r="D588" s="966"/>
      <c r="E588" s="966"/>
      <c r="F588" s="966"/>
      <c r="G588" s="70"/>
      <c r="H588" s="70"/>
      <c r="I588" s="70"/>
    </row>
    <row r="589" spans="1:9" x14ac:dyDescent="0.25">
      <c r="A589" s="70"/>
      <c r="B589" s="70"/>
      <c r="C589" s="70"/>
      <c r="D589" s="70"/>
      <c r="E589" s="70"/>
      <c r="F589" s="70"/>
      <c r="G589" s="70"/>
      <c r="H589" s="70"/>
      <c r="I589" s="70"/>
    </row>
    <row r="590" spans="1:9" x14ac:dyDescent="0.25">
      <c r="A590" s="70"/>
      <c r="B590" s="70"/>
      <c r="C590" s="70"/>
      <c r="D590" s="70"/>
      <c r="E590" s="70"/>
      <c r="F590" s="70"/>
      <c r="G590" s="70"/>
      <c r="H590" s="70"/>
      <c r="I590" s="70"/>
    </row>
    <row r="591" spans="1:9" x14ac:dyDescent="0.25">
      <c r="A591" s="70"/>
      <c r="B591" s="70"/>
      <c r="C591" s="70"/>
      <c r="D591" s="70"/>
      <c r="E591" s="70"/>
      <c r="F591" s="70"/>
      <c r="G591" s="70"/>
      <c r="H591" s="70"/>
      <c r="I591" s="70"/>
    </row>
    <row r="592" spans="1:9" x14ac:dyDescent="0.25">
      <c r="A592" s="70"/>
      <c r="B592" s="70"/>
      <c r="C592" s="70"/>
      <c r="D592" s="70"/>
      <c r="E592" s="70"/>
      <c r="F592" s="70"/>
      <c r="G592" s="70"/>
      <c r="H592" s="70"/>
      <c r="I592" s="70"/>
    </row>
    <row r="593" spans="1:9" x14ac:dyDescent="0.25">
      <c r="A593" s="70"/>
      <c r="B593" s="70"/>
      <c r="C593" s="70"/>
      <c r="D593" s="70"/>
      <c r="E593" s="70"/>
      <c r="F593" s="70"/>
      <c r="G593" s="70"/>
      <c r="H593" s="70"/>
      <c r="I593" s="70"/>
    </row>
    <row r="594" spans="1:9" x14ac:dyDescent="0.25">
      <c r="A594" s="70"/>
      <c r="B594" s="70"/>
      <c r="C594" s="70"/>
      <c r="D594" s="70"/>
      <c r="E594" s="70"/>
      <c r="F594" s="70"/>
      <c r="G594" s="70"/>
      <c r="H594" s="70"/>
      <c r="I594" s="70"/>
    </row>
    <row r="595" spans="1:9" x14ac:dyDescent="0.25">
      <c r="A595" s="70"/>
      <c r="B595" s="70"/>
      <c r="C595" s="70"/>
      <c r="D595" s="70"/>
      <c r="E595" s="70"/>
      <c r="F595" s="70"/>
      <c r="G595" s="70"/>
      <c r="H595" s="70"/>
      <c r="I595" s="70"/>
    </row>
    <row r="596" spans="1:9" x14ac:dyDescent="0.25">
      <c r="A596" s="70"/>
      <c r="B596" s="70"/>
      <c r="C596" s="70"/>
      <c r="D596" s="70"/>
      <c r="E596" s="70"/>
      <c r="F596" s="70"/>
      <c r="G596" s="70"/>
      <c r="H596" s="70"/>
      <c r="I596" s="70"/>
    </row>
  </sheetData>
  <mergeCells count="372">
    <mergeCell ref="A588:F588"/>
    <mergeCell ref="A582:F582"/>
    <mergeCell ref="A583:F583"/>
    <mergeCell ref="A584:F584"/>
    <mergeCell ref="A585:F585"/>
    <mergeCell ref="A586:F586"/>
    <mergeCell ref="A587:F587"/>
    <mergeCell ref="A576:F576"/>
    <mergeCell ref="A577:F577"/>
    <mergeCell ref="A578:F578"/>
    <mergeCell ref="A579:F579"/>
    <mergeCell ref="A580:F580"/>
    <mergeCell ref="A581:F581"/>
    <mergeCell ref="A570:F570"/>
    <mergeCell ref="A571:F571"/>
    <mergeCell ref="A572:F572"/>
    <mergeCell ref="A573:F573"/>
    <mergeCell ref="A574:F574"/>
    <mergeCell ref="A575:F575"/>
    <mergeCell ref="A564:F564"/>
    <mergeCell ref="A565:F565"/>
    <mergeCell ref="A566:F566"/>
    <mergeCell ref="A567:F567"/>
    <mergeCell ref="A568:F568"/>
    <mergeCell ref="A569:F569"/>
    <mergeCell ref="A543:F543"/>
    <mergeCell ref="A544:F544"/>
    <mergeCell ref="A545:F545"/>
    <mergeCell ref="A547:F547"/>
    <mergeCell ref="BP547:BT547"/>
    <mergeCell ref="BN563:BR563"/>
    <mergeCell ref="BG539:BH539"/>
    <mergeCell ref="BI539:BJ539"/>
    <mergeCell ref="BK539:BL539"/>
    <mergeCell ref="A540:F540"/>
    <mergeCell ref="A541:F541"/>
    <mergeCell ref="A542:F542"/>
    <mergeCell ref="BG537:BH537"/>
    <mergeCell ref="BI537:BJ537"/>
    <mergeCell ref="BK537:BL537"/>
    <mergeCell ref="A538:F538"/>
    <mergeCell ref="A539:F539"/>
    <mergeCell ref="AW539:AX539"/>
    <mergeCell ref="AY539:AZ539"/>
    <mergeCell ref="BA539:BB539"/>
    <mergeCell ref="BC539:BD539"/>
    <mergeCell ref="BE539:BF539"/>
    <mergeCell ref="A537:F537"/>
    <mergeCell ref="AW537:AX537"/>
    <mergeCell ref="AY537:AZ537"/>
    <mergeCell ref="BA537:BB537"/>
    <mergeCell ref="BC537:BD537"/>
    <mergeCell ref="BE537:BF537"/>
    <mergeCell ref="A531:F531"/>
    <mergeCell ref="A532:F532"/>
    <mergeCell ref="A533:F533"/>
    <mergeCell ref="A534:F534"/>
    <mergeCell ref="A535:F535"/>
    <mergeCell ref="A536:F536"/>
    <mergeCell ref="A521:F521"/>
    <mergeCell ref="A522:F522"/>
    <mergeCell ref="A523:F523"/>
    <mergeCell ref="A528:F528"/>
    <mergeCell ref="A529:F529"/>
    <mergeCell ref="A530:F530"/>
    <mergeCell ref="A515:F515"/>
    <mergeCell ref="A516:F516"/>
    <mergeCell ref="A517:F517"/>
    <mergeCell ref="A518:F518"/>
    <mergeCell ref="A519:F519"/>
    <mergeCell ref="A520:F520"/>
    <mergeCell ref="A504:F504"/>
    <mergeCell ref="A505:F505"/>
    <mergeCell ref="A506:F506"/>
    <mergeCell ref="A512:F512"/>
    <mergeCell ref="A513:F513"/>
    <mergeCell ref="A514:F514"/>
    <mergeCell ref="A498:F498"/>
    <mergeCell ref="AM498:AQ498"/>
    <mergeCell ref="A499:F499"/>
    <mergeCell ref="A501:F501"/>
    <mergeCell ref="A502:F502"/>
    <mergeCell ref="A503:F503"/>
    <mergeCell ref="A495:F495"/>
    <mergeCell ref="AM495:AQ495"/>
    <mergeCell ref="A496:F496"/>
    <mergeCell ref="AM496:AQ496"/>
    <mergeCell ref="A497:F497"/>
    <mergeCell ref="AM497:AQ497"/>
    <mergeCell ref="A491:F491"/>
    <mergeCell ref="AM491:AQ491"/>
    <mergeCell ref="A492:F492"/>
    <mergeCell ref="A493:F493"/>
    <mergeCell ref="AM493:AQ493"/>
    <mergeCell ref="A494:F494"/>
    <mergeCell ref="AM494:AQ494"/>
    <mergeCell ref="A485:F485"/>
    <mergeCell ref="A486:F486"/>
    <mergeCell ref="A487:F487"/>
    <mergeCell ref="A488:F488"/>
    <mergeCell ref="A489:F489"/>
    <mergeCell ref="A490:F490"/>
    <mergeCell ref="A479:F479"/>
    <mergeCell ref="A480:F480"/>
    <mergeCell ref="A481:F481"/>
    <mergeCell ref="A482:F482"/>
    <mergeCell ref="A483:F483"/>
    <mergeCell ref="A484:F484"/>
    <mergeCell ref="A473:F473"/>
    <mergeCell ref="A474:F474"/>
    <mergeCell ref="A475:F475"/>
    <mergeCell ref="A476:F476"/>
    <mergeCell ref="A477:F477"/>
    <mergeCell ref="A478:F478"/>
    <mergeCell ref="A469:F469"/>
    <mergeCell ref="A470:F470"/>
    <mergeCell ref="A471:F471"/>
    <mergeCell ref="Q471:S471"/>
    <mergeCell ref="U471:W471"/>
    <mergeCell ref="A472:F472"/>
    <mergeCell ref="A463:F463"/>
    <mergeCell ref="A464:F464"/>
    <mergeCell ref="A465:F465"/>
    <mergeCell ref="A466:F466"/>
    <mergeCell ref="A467:F467"/>
    <mergeCell ref="A468:F468"/>
    <mergeCell ref="A457:F457"/>
    <mergeCell ref="A458:F458"/>
    <mergeCell ref="A459:F459"/>
    <mergeCell ref="A460:F460"/>
    <mergeCell ref="A461:F461"/>
    <mergeCell ref="A462:F462"/>
    <mergeCell ref="A451:F451"/>
    <mergeCell ref="A452:F452"/>
    <mergeCell ref="A453:F453"/>
    <mergeCell ref="A454:F454"/>
    <mergeCell ref="A455:F455"/>
    <mergeCell ref="A456:F456"/>
    <mergeCell ref="A434:F434"/>
    <mergeCell ref="A435:F435"/>
    <mergeCell ref="A436:F436"/>
    <mergeCell ref="A437:F437"/>
    <mergeCell ref="A449:F449"/>
    <mergeCell ref="A450:F450"/>
    <mergeCell ref="A405:F405"/>
    <mergeCell ref="A420:F420"/>
    <mergeCell ref="A421:F421"/>
    <mergeCell ref="A422:F422"/>
    <mergeCell ref="A423:F423"/>
    <mergeCell ref="A424:F424"/>
    <mergeCell ref="A385:F385"/>
    <mergeCell ref="A400:F400"/>
    <mergeCell ref="A401:F401"/>
    <mergeCell ref="A402:F402"/>
    <mergeCell ref="A403:F403"/>
    <mergeCell ref="A404:F404"/>
    <mergeCell ref="A379:F379"/>
    <mergeCell ref="A380:F380"/>
    <mergeCell ref="A381:F381"/>
    <mergeCell ref="A382:F382"/>
    <mergeCell ref="A383:F383"/>
    <mergeCell ref="A384:F384"/>
    <mergeCell ref="A364:F364"/>
    <mergeCell ref="A365:F365"/>
    <mergeCell ref="A375:F375"/>
    <mergeCell ref="A376:F376"/>
    <mergeCell ref="A377:F377"/>
    <mergeCell ref="A378:F378"/>
    <mergeCell ref="A358:F358"/>
    <mergeCell ref="A359:F359"/>
    <mergeCell ref="A360:F360"/>
    <mergeCell ref="A361:F361"/>
    <mergeCell ref="A362:F362"/>
    <mergeCell ref="A363:F363"/>
    <mergeCell ref="A352:F352"/>
    <mergeCell ref="A353:F353"/>
    <mergeCell ref="A354:F354"/>
    <mergeCell ref="A355:F355"/>
    <mergeCell ref="A356:F356"/>
    <mergeCell ref="A357:F357"/>
    <mergeCell ref="A340:F340"/>
    <mergeCell ref="A341:F341"/>
    <mergeCell ref="A342:F342"/>
    <mergeCell ref="A343:F343"/>
    <mergeCell ref="A344:F344"/>
    <mergeCell ref="A345:F345"/>
    <mergeCell ref="A331:F331"/>
    <mergeCell ref="A332:F332"/>
    <mergeCell ref="A333:F333"/>
    <mergeCell ref="A337:F337"/>
    <mergeCell ref="A338:F338"/>
    <mergeCell ref="A339:F339"/>
    <mergeCell ref="A324:F324"/>
    <mergeCell ref="A325:F325"/>
    <mergeCell ref="A326:F326"/>
    <mergeCell ref="A327:F327"/>
    <mergeCell ref="A328:F328"/>
    <mergeCell ref="A330:F330"/>
    <mergeCell ref="A318:F318"/>
    <mergeCell ref="A319:F319"/>
    <mergeCell ref="A320:F320"/>
    <mergeCell ref="A321:F321"/>
    <mergeCell ref="A322:F322"/>
    <mergeCell ref="A323:F323"/>
    <mergeCell ref="A303:F303"/>
    <mergeCell ref="A304:F304"/>
    <mergeCell ref="A305:F305"/>
    <mergeCell ref="A315:F315"/>
    <mergeCell ref="A316:F316"/>
    <mergeCell ref="A317:F317"/>
    <mergeCell ref="A289:F289"/>
    <mergeCell ref="A290:F290"/>
    <mergeCell ref="A295:E295"/>
    <mergeCell ref="A296:E296"/>
    <mergeCell ref="A297:E297"/>
    <mergeCell ref="A298:E298"/>
    <mergeCell ref="U277:W277"/>
    <mergeCell ref="A284:F284"/>
    <mergeCell ref="A285:F285"/>
    <mergeCell ref="A286:F286"/>
    <mergeCell ref="A287:F287"/>
    <mergeCell ref="A288:F288"/>
    <mergeCell ref="A272:F272"/>
    <mergeCell ref="A273:F273"/>
    <mergeCell ref="A274:F274"/>
    <mergeCell ref="A275:F275"/>
    <mergeCell ref="A276:F276"/>
    <mergeCell ref="Q277:S277"/>
    <mergeCell ref="A268:F268"/>
    <mergeCell ref="Q268:S268"/>
    <mergeCell ref="W268:Y268"/>
    <mergeCell ref="A269:F269"/>
    <mergeCell ref="A270:F270"/>
    <mergeCell ref="A271:F271"/>
    <mergeCell ref="A262:F262"/>
    <mergeCell ref="A263:F263"/>
    <mergeCell ref="A264:F264"/>
    <mergeCell ref="A265:F265"/>
    <mergeCell ref="A266:F266"/>
    <mergeCell ref="A267:F267"/>
    <mergeCell ref="A248:F248"/>
    <mergeCell ref="A249:F249"/>
    <mergeCell ref="A258:F258"/>
    <mergeCell ref="A259:F259"/>
    <mergeCell ref="A260:F260"/>
    <mergeCell ref="A261:F261"/>
    <mergeCell ref="A227:F227"/>
    <mergeCell ref="A233:F233"/>
    <mergeCell ref="A235:F235"/>
    <mergeCell ref="A236:F236"/>
    <mergeCell ref="A246:F246"/>
    <mergeCell ref="A247:F247"/>
    <mergeCell ref="A208:F208"/>
    <mergeCell ref="A209:F209"/>
    <mergeCell ref="A210:F210"/>
    <mergeCell ref="A224:F224"/>
    <mergeCell ref="A225:F225"/>
    <mergeCell ref="A226:F226"/>
    <mergeCell ref="A199:F199"/>
    <mergeCell ref="A200:F200"/>
    <mergeCell ref="A205:F205"/>
    <mergeCell ref="A206:F206"/>
    <mergeCell ref="I206:N206"/>
    <mergeCell ref="A207:F207"/>
    <mergeCell ref="A188:F188"/>
    <mergeCell ref="A189:F189"/>
    <mergeCell ref="A190:F190"/>
    <mergeCell ref="A191:F191"/>
    <mergeCell ref="A197:F197"/>
    <mergeCell ref="A198:F198"/>
    <mergeCell ref="A177:F177"/>
    <mergeCell ref="A178:F178"/>
    <mergeCell ref="A179:F179"/>
    <mergeCell ref="A180:F180"/>
    <mergeCell ref="A181:F181"/>
    <mergeCell ref="A182:F182"/>
    <mergeCell ref="A171:F171"/>
    <mergeCell ref="A172:F172"/>
    <mergeCell ref="A173:F173"/>
    <mergeCell ref="A174:F174"/>
    <mergeCell ref="A175:F175"/>
    <mergeCell ref="A176:F176"/>
    <mergeCell ref="A151:F151"/>
    <mergeCell ref="A152:F152"/>
    <mergeCell ref="A153:F153"/>
    <mergeCell ref="A168:F168"/>
    <mergeCell ref="A169:F169"/>
    <mergeCell ref="A170:F170"/>
    <mergeCell ref="A141:F141"/>
    <mergeCell ref="A142:F142"/>
    <mergeCell ref="A143:F143"/>
    <mergeCell ref="A144:F144"/>
    <mergeCell ref="A149:F149"/>
    <mergeCell ref="A150:F150"/>
    <mergeCell ref="A123:F123"/>
    <mergeCell ref="A124:F124"/>
    <mergeCell ref="A132:F132"/>
    <mergeCell ref="A133:F133"/>
    <mergeCell ref="A134:F134"/>
    <mergeCell ref="A135:F135"/>
    <mergeCell ref="A107:F107"/>
    <mergeCell ref="A108:F108"/>
    <mergeCell ref="A109:F109"/>
    <mergeCell ref="A120:F120"/>
    <mergeCell ref="A121:F121"/>
    <mergeCell ref="A122:F122"/>
    <mergeCell ref="A80:F80"/>
    <mergeCell ref="A81:F81"/>
    <mergeCell ref="A97:F97"/>
    <mergeCell ref="A98:F98"/>
    <mergeCell ref="A99:F99"/>
    <mergeCell ref="A106:F106"/>
    <mergeCell ref="A67:F67"/>
    <mergeCell ref="A68:F68"/>
    <mergeCell ref="A76:F76"/>
    <mergeCell ref="A77:F77"/>
    <mergeCell ref="A78:F78"/>
    <mergeCell ref="A79:F79"/>
    <mergeCell ref="A56:F56"/>
    <mergeCell ref="A62:F62"/>
    <mergeCell ref="A63:F63"/>
    <mergeCell ref="A64:F64"/>
    <mergeCell ref="A65:F65"/>
    <mergeCell ref="A66:F66"/>
    <mergeCell ref="A45:F45"/>
    <mergeCell ref="A51:F51"/>
    <mergeCell ref="A52:F52"/>
    <mergeCell ref="A53:F53"/>
    <mergeCell ref="A54:F54"/>
    <mergeCell ref="A55:F55"/>
    <mergeCell ref="A39:F39"/>
    <mergeCell ref="A40:F40"/>
    <mergeCell ref="A41:F41"/>
    <mergeCell ref="A42:F42"/>
    <mergeCell ref="A43:F43"/>
    <mergeCell ref="A44:F44"/>
    <mergeCell ref="A33:F33"/>
    <mergeCell ref="A34:F34"/>
    <mergeCell ref="A35:F35"/>
    <mergeCell ref="A36:F36"/>
    <mergeCell ref="A37:F37"/>
    <mergeCell ref="A38:F38"/>
    <mergeCell ref="A25:F25"/>
    <mergeCell ref="A28:F28"/>
    <mergeCell ref="A29:F29"/>
    <mergeCell ref="A30:F30"/>
    <mergeCell ref="A31:F31"/>
    <mergeCell ref="A32:F32"/>
    <mergeCell ref="A19:F19"/>
    <mergeCell ref="A20:F20"/>
    <mergeCell ref="A21:F21"/>
    <mergeCell ref="A22:F22"/>
    <mergeCell ref="A23:F23"/>
    <mergeCell ref="A24:F24"/>
    <mergeCell ref="A16:F16"/>
    <mergeCell ref="A17:F17"/>
    <mergeCell ref="A18:F18"/>
    <mergeCell ref="A7:F7"/>
    <mergeCell ref="A8:F8"/>
    <mergeCell ref="A9:F9"/>
    <mergeCell ref="A10:F10"/>
    <mergeCell ref="A11:F11"/>
    <mergeCell ref="A12:F12"/>
    <mergeCell ref="A1:F1"/>
    <mergeCell ref="A2:F2"/>
    <mergeCell ref="A3:F3"/>
    <mergeCell ref="A4:F4"/>
    <mergeCell ref="A5:F5"/>
    <mergeCell ref="A6:F6"/>
    <mergeCell ref="A13:F13"/>
    <mergeCell ref="A14:F14"/>
    <mergeCell ref="A15:F15"/>
  </mergeCells>
  <pageMargins left="0.51181102362204722" right="0.51181102362204722" top="0.78740157480314965" bottom="0.78740157480314965" header="0.31496062992125984" footer="0.31496062992125984"/>
  <pageSetup paperSize="9" scale="95" orientation="portrait" r:id="rId1"/>
  <rowBreaks count="11" manualBreakCount="11">
    <brk id="81" max="16383" man="1"/>
    <brk id="124" max="16383" man="1"/>
    <brk id="182" max="16383" man="1"/>
    <brk id="210" max="16383" man="1"/>
    <brk id="249" max="16383" man="1"/>
    <brk id="320" max="16383" man="1"/>
    <brk id="352" max="16383" man="1"/>
    <brk id="375" max="16383" man="1"/>
    <brk id="400" max="16383" man="1"/>
    <brk id="437" max="5" man="1"/>
    <brk id="52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11</vt:i4>
      </vt:variant>
    </vt:vector>
  </HeadingPairs>
  <TitlesOfParts>
    <vt:vector size="24" baseType="lpstr">
      <vt:lpstr>Classificações - Demonstrações</vt:lpstr>
      <vt:lpstr>Balancete do Período</vt:lpstr>
      <vt:lpstr>DRE(9)</vt:lpstr>
      <vt:lpstr>DMPL (3)</vt:lpstr>
      <vt:lpstr>Capa DFs</vt:lpstr>
      <vt:lpstr>1. BP (mil)</vt:lpstr>
      <vt:lpstr>2. DRE (mil)</vt:lpstr>
      <vt:lpstr>3. DFC (mil)</vt:lpstr>
      <vt:lpstr>4. DRA (mil)</vt:lpstr>
      <vt:lpstr>5. DVA (mil)</vt:lpstr>
      <vt:lpstr>6. DMPL (mil)</vt:lpstr>
      <vt:lpstr>Notas Explicativas</vt:lpstr>
      <vt:lpstr>Notas Explicativas (2)</vt:lpstr>
      <vt:lpstr>'1. BP (mil)'!Area_de_impressao</vt:lpstr>
      <vt:lpstr>'2. DRE (mil)'!Area_de_impressao</vt:lpstr>
      <vt:lpstr>'3. DFC (mil)'!Area_de_impressao</vt:lpstr>
      <vt:lpstr>'4. DRA (mil)'!Area_de_impressao</vt:lpstr>
      <vt:lpstr>'5. DVA (mil)'!Area_de_impressao</vt:lpstr>
      <vt:lpstr>'6. DMPL (mil)'!Area_de_impressao</vt:lpstr>
      <vt:lpstr>'Capa DFs'!Area_de_impressao</vt:lpstr>
      <vt:lpstr>'DMPL (3)'!Area_de_impressao</vt:lpstr>
      <vt:lpstr>'DRE(9)'!Area_de_impressao</vt:lpstr>
      <vt:lpstr>'Notas Explicativas'!Area_de_impressao</vt:lpstr>
      <vt:lpstr>'Notas Explicativas (2)'!Area_de_impressao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de Sousa Viana</dc:creator>
  <cp:lastModifiedBy>Márcio da Silva Plaza</cp:lastModifiedBy>
  <cp:lastPrinted>2026-09-09T15:29:34Z</cp:lastPrinted>
  <dcterms:created xsi:type="dcterms:W3CDTF">2024-01-16T18:07:30Z</dcterms:created>
  <dcterms:modified xsi:type="dcterms:W3CDTF">2026-09-09T15:30:15Z</dcterms:modified>
</cp:coreProperties>
</file>